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https://brookhavenlab-my.sharepoint.com/personal/poc_bnl_gov/Documents/CV_21cm/Decadal_190710/cost_estimate/costEstimateForRFI2/"/>
    </mc:Choice>
  </mc:AlternateContent>
  <xr:revisionPtr revIDLastSave="2" documentId="8_{3C82D2C0-E03D-453D-AF95-AE3DDBEF2221}" xr6:coauthVersionLast="41" xr6:coauthVersionMax="41" xr10:uidLastSave="{6DEE473E-4F5F-4D70-B948-CDE8180FE75E}"/>
  <bookViews>
    <workbookView xWindow="3816" yWindow="408" windowWidth="29784" windowHeight="18192" xr2:uid="{00000000-000D-0000-FFFF-FFFF00000000}"/>
  </bookViews>
  <sheets>
    <sheet name="Construction_Breakdown" sheetId="2" r:id="rId1"/>
    <sheet name="FX Correlator cost" sheetId="11" r:id="rId2"/>
    <sheet name="Summary" sheetId="6" r:id="rId3"/>
    <sheet name="Constr Pie Chart" sheetId="7" r:id="rId4"/>
    <sheet name="Timeline" sheetId="10" r:id="rId5"/>
  </sheets>
  <definedNames>
    <definedName name="_xlnm._FilterDatabase" localSheetId="0" hidden="1">Construction_Breakdown!$B$28:$K$29</definedName>
    <definedName name="_xlnm.Print_Area" localSheetId="0">Construction_Breakdown!$B$4:$P$90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9" i="2" l="1"/>
  <c r="F29" i="2"/>
  <c r="C33" i="11" l="1"/>
  <c r="B33" i="11"/>
  <c r="C32" i="11"/>
  <c r="B32" i="11"/>
  <c r="C31" i="11"/>
  <c r="B31" i="11"/>
  <c r="C26" i="11"/>
  <c r="B26" i="11"/>
  <c r="E8" i="11" l="1"/>
  <c r="D8" i="11"/>
  <c r="C8" i="11"/>
  <c r="H15" i="6" l="1"/>
  <c r="I15" i="6"/>
  <c r="G29" i="2" l="1"/>
  <c r="J29" i="2" s="1"/>
  <c r="O6" i="2" s="1"/>
  <c r="H29" i="2"/>
  <c r="K29" i="2" s="1"/>
  <c r="P6" i="2" s="1"/>
  <c r="K44" i="2"/>
  <c r="P9" i="2" s="1"/>
  <c r="J44" i="2"/>
  <c r="O9" i="2" s="1"/>
  <c r="F34" i="2"/>
  <c r="H34" i="2" s="1"/>
  <c r="K34" i="2" s="1"/>
  <c r="E34" i="2"/>
  <c r="G34" i="2" s="1"/>
  <c r="J34" i="2" s="1"/>
  <c r="F23" i="2"/>
  <c r="E23" i="2"/>
  <c r="F21" i="2"/>
  <c r="E21" i="2"/>
  <c r="G21" i="2" s="1"/>
  <c r="J21" i="2" s="1"/>
  <c r="F19" i="2"/>
  <c r="H19" i="2" s="1"/>
  <c r="K19" i="2" s="1"/>
  <c r="E19" i="2"/>
  <c r="G19" i="2" s="1"/>
  <c r="J19" i="2" s="1"/>
  <c r="F17" i="2"/>
  <c r="H17" i="2" s="1"/>
  <c r="K17" i="2" s="1"/>
  <c r="E17" i="2"/>
  <c r="G17" i="2" s="1"/>
  <c r="J17" i="2" s="1"/>
  <c r="F15" i="2"/>
  <c r="E15" i="2"/>
  <c r="F13" i="2"/>
  <c r="E13" i="2"/>
  <c r="F22" i="2"/>
  <c r="H22" i="2" s="1"/>
  <c r="K22" i="2" s="1"/>
  <c r="E22" i="2"/>
  <c r="G22" i="2" s="1"/>
  <c r="J22" i="2" s="1"/>
  <c r="F20" i="2"/>
  <c r="H20" i="2" s="1"/>
  <c r="K20" i="2" s="1"/>
  <c r="E20" i="2"/>
  <c r="G20" i="2" s="1"/>
  <c r="J20" i="2" s="1"/>
  <c r="F18" i="2"/>
  <c r="H18" i="2" s="1"/>
  <c r="K18" i="2" s="1"/>
  <c r="E18" i="2"/>
  <c r="G18" i="2" s="1"/>
  <c r="J18" i="2" s="1"/>
  <c r="F16" i="2"/>
  <c r="H16" i="2" s="1"/>
  <c r="K16" i="2" s="1"/>
  <c r="E16" i="2"/>
  <c r="G16" i="2" s="1"/>
  <c r="J16" i="2" s="1"/>
  <c r="F14" i="2"/>
  <c r="H14" i="2" s="1"/>
  <c r="K14" i="2" s="1"/>
  <c r="E14" i="2"/>
  <c r="G14" i="2" s="1"/>
  <c r="J14" i="2" s="1"/>
  <c r="F12" i="2"/>
  <c r="E12" i="2"/>
  <c r="F11" i="2"/>
  <c r="E11" i="2"/>
  <c r="H21" i="2"/>
  <c r="K21" i="2" s="1"/>
  <c r="D23" i="2"/>
  <c r="H23" i="2" s="1"/>
  <c r="K23" i="2" s="1"/>
  <c r="D12" i="2"/>
  <c r="G39" i="2" l="1"/>
  <c r="H39" i="2"/>
  <c r="K39" i="2" s="1"/>
  <c r="J39" i="2"/>
  <c r="G12" i="2"/>
  <c r="G23" i="2"/>
  <c r="J23" i="2" s="1"/>
  <c r="H12" i="2"/>
  <c r="H15" i="2" l="1"/>
  <c r="K15" i="2" s="1"/>
  <c r="G15" i="2"/>
  <c r="J15" i="2" s="1"/>
  <c r="K6" i="2"/>
  <c r="J6" i="2"/>
  <c r="P4" i="2" l="1"/>
  <c r="O4" i="2"/>
  <c r="P8" i="2" l="1"/>
  <c r="O8" i="2"/>
  <c r="D71" i="2" l="1"/>
  <c r="D70" i="2"/>
  <c r="D69" i="2"/>
  <c r="D68" i="2"/>
  <c r="D61" i="2"/>
  <c r="D53" i="2"/>
  <c r="D63" i="2"/>
  <c r="D62" i="2"/>
  <c r="D56" i="2"/>
  <c r="D55" i="2"/>
  <c r="D54" i="2"/>
  <c r="D60" i="2" l="1"/>
  <c r="D67" i="2"/>
  <c r="D52" i="2"/>
  <c r="D11" i="2" l="1"/>
  <c r="D13" i="2"/>
  <c r="H13" i="2" l="1"/>
  <c r="K13" i="2" s="1"/>
  <c r="G13" i="2"/>
  <c r="J13" i="2" s="1"/>
  <c r="G11" i="2"/>
  <c r="D24" i="2"/>
  <c r="H11" i="2"/>
  <c r="P7" i="2"/>
  <c r="K11" i="2" l="1"/>
  <c r="H24" i="2"/>
  <c r="H47" i="2" s="1"/>
  <c r="J11" i="2"/>
  <c r="G24" i="2"/>
  <c r="G47" i="2" s="1"/>
  <c r="O7" i="2"/>
  <c r="J12" i="2" l="1"/>
  <c r="J24" i="2" s="1"/>
  <c r="J47" i="2" s="1"/>
  <c r="K12" i="2"/>
  <c r="K24" i="2" s="1"/>
  <c r="K47" i="2" s="1"/>
  <c r="P5" i="2" l="1"/>
  <c r="O5" i="2"/>
  <c r="J52" i="2" l="1"/>
  <c r="J67" i="2"/>
  <c r="O12" i="2" s="1"/>
  <c r="J60" i="2"/>
  <c r="O11" i="2" s="1"/>
  <c r="K67" i="2"/>
  <c r="P12" i="2" s="1"/>
  <c r="K52" i="2"/>
  <c r="K60" i="2"/>
  <c r="P11" i="2" s="1"/>
  <c r="P10" i="2" l="1"/>
  <c r="K73" i="2"/>
  <c r="N1" i="7" s="1"/>
  <c r="O10" i="2"/>
  <c r="J73" i="2"/>
  <c r="F17" i="6" l="1"/>
  <c r="D1" i="7"/>
  <c r="D17" i="6"/>
  <c r="F19" i="6"/>
  <c r="F18" i="6"/>
  <c r="E17" i="6"/>
  <c r="J17" i="6"/>
  <c r="J19" i="6" s="1"/>
  <c r="P13" i="2"/>
  <c r="O13" i="2"/>
  <c r="F20" i="6" l="1"/>
  <c r="E18" i="6"/>
  <c r="D18" i="6"/>
  <c r="E19" i="6"/>
  <c r="D19" i="6"/>
  <c r="J18" i="6"/>
  <c r="J20" i="6" s="1"/>
  <c r="I17" i="6"/>
  <c r="H17" i="6"/>
  <c r="R4" i="2"/>
  <c r="R9" i="2"/>
  <c r="R8" i="2"/>
  <c r="R5" i="2"/>
  <c r="R6" i="2"/>
  <c r="R7" i="2"/>
  <c r="R11" i="2"/>
  <c r="R12" i="2"/>
  <c r="R10" i="2"/>
  <c r="Q9" i="2"/>
  <c r="Q8" i="2"/>
  <c r="Q5" i="2"/>
  <c r="Q4" i="2"/>
  <c r="Q6" i="2"/>
  <c r="Q7" i="2"/>
  <c r="Q11" i="2"/>
  <c r="Q12" i="2"/>
  <c r="Q10" i="2"/>
  <c r="D20" i="6" l="1"/>
  <c r="E20" i="6"/>
  <c r="I19" i="6"/>
  <c r="H19" i="6"/>
  <c r="I18" i="6"/>
  <c r="I20" i="6" s="1"/>
  <c r="H18" i="6"/>
  <c r="R13" i="2"/>
  <c r="Q13" i="2"/>
  <c r="H20" i="6" l="1"/>
</calcChain>
</file>

<file path=xl/sharedStrings.xml><?xml version="1.0" encoding="utf-8"?>
<sst xmlns="http://schemas.openxmlformats.org/spreadsheetml/2006/main" count="276" uniqueCount="170">
  <si>
    <t>Component</t>
  </si>
  <si>
    <t>-</t>
  </si>
  <si>
    <t>TOTAL</t>
  </si>
  <si>
    <t>Dish Materials</t>
  </si>
  <si>
    <t>Mold</t>
  </si>
  <si>
    <t>Basis</t>
  </si>
  <si>
    <t>$50K/mold/300 dishes</t>
  </si>
  <si>
    <t>Labor</t>
  </si>
  <si>
    <t>1.5 days/dish * 8hr/day * $30/hr</t>
  </si>
  <si>
    <t xml:space="preserve">Mount </t>
  </si>
  <si>
    <t>Dish Installation Labor</t>
  </si>
  <si>
    <t>Dish Fabrication Labor</t>
  </si>
  <si>
    <t>1.5 hours * 2 persons/dish</t>
  </si>
  <si>
    <t>Ave. of HIRAX +  CHORD estimates</t>
  </si>
  <si>
    <t>Ave.  of HIRAX and CHORD estimates</t>
  </si>
  <si>
    <t>Amplifiers</t>
  </si>
  <si>
    <t>Digitizer</t>
  </si>
  <si>
    <t>PCB</t>
  </si>
  <si>
    <t>Enclosure, connectors</t>
  </si>
  <si>
    <t>Cost PP ($K)</t>
  </si>
  <si>
    <t>Cost PF ($K)</t>
  </si>
  <si>
    <t>Filters, attenuators</t>
  </si>
  <si>
    <t>BMX: 2X hpass, 2X lopass</t>
  </si>
  <si>
    <t xml:space="preserve"> 2X LNA, 4K gain block (skyworks) </t>
  </si>
  <si>
    <t>FPGA+serdes+transceiver</t>
  </si>
  <si>
    <t>5-layer board 4"x12" in quantity</t>
  </si>
  <si>
    <t>BMX in quantity</t>
  </si>
  <si>
    <t>1day/box * 8hr/day * $30/hr</t>
  </si>
  <si>
    <t>ex. Artix-7 AC701 (includes F-engine)</t>
  </si>
  <si>
    <t>assembly + test labor</t>
  </si>
  <si>
    <t>INSTALLATION AND COMMISSIONING</t>
  </si>
  <si>
    <t>cost-optimized altitude only</t>
  </si>
  <si>
    <t>% of total cost</t>
  </si>
  <si>
    <t>MANAGEMENT AND SYSTEMS ENGINEERING</t>
  </si>
  <si>
    <t>ave. of LSSTCam, CMB-S4, and PICO</t>
  </si>
  <si>
    <t>CONTROL, CALIBRATION, AND DATA MANAGEMENT</t>
  </si>
  <si>
    <t>Labor + hardware</t>
  </si>
  <si>
    <t>ave. of LSSTCam, HERA-II, CMB-S4, and PICO</t>
  </si>
  <si>
    <t>ave. of LSSTCam, CMB-S4, HERA-II, and PICO</t>
  </si>
  <si>
    <t>HERA-II: 10/42 $M</t>
  </si>
  <si>
    <t>CMB-S4: 59.1/506.934 $M</t>
  </si>
  <si>
    <t>PICO: 21/432.7 $M</t>
  </si>
  <si>
    <t>CMB-S4: 31.52/506.93 $M</t>
  </si>
  <si>
    <t>PICO instrument: 29/168 $M</t>
  </si>
  <si>
    <t>LSST: 12.98/158.57 $M</t>
  </si>
  <si>
    <t>LSST: 15.927/158.57 $M</t>
  </si>
  <si>
    <t>LSST: 23.704/158.571 $M</t>
  </si>
  <si>
    <t>CMB-S4: 22.05/506.93 $M</t>
  </si>
  <si>
    <t>HERA-II: 1.1/42 $M</t>
  </si>
  <si>
    <t>PICO  instrument: 18/168 $M</t>
  </si>
  <si>
    <t>Yrs. To CD3a=</t>
  </si>
  <si>
    <t>GRAND TOTAL</t>
  </si>
  <si>
    <t>SITE UPGRADE</t>
  </si>
  <si>
    <t xml:space="preserve"> </t>
  </si>
  <si>
    <t>U.S. contribution</t>
  </si>
  <si>
    <t xml:space="preserve"> - </t>
  </si>
  <si>
    <t xml:space="preserve"> -</t>
  </si>
  <si>
    <t>TIMING DISTRIBUTION</t>
  </si>
  <si>
    <t>Phase</t>
  </si>
  <si>
    <t>Years</t>
  </si>
  <si>
    <t>U.S. Federal ($M)</t>
  </si>
  <si>
    <t>Non-federal ($M)</t>
  </si>
  <si>
    <t>Total ($M)</t>
  </si>
  <si>
    <t>R&amp;D</t>
  </si>
  <si>
    <t>FY 21-24</t>
  </si>
  <si>
    <t>Final design and
site acquisition</t>
  </si>
  <si>
    <t>FY 25-26</t>
  </si>
  <si>
    <t>Construction and 
commissioning</t>
  </si>
  <si>
    <t>Operations</t>
  </si>
  <si>
    <t>FY 34-38</t>
  </si>
  <si>
    <t>Science</t>
  </si>
  <si>
    <t>FY 21-38</t>
  </si>
  <si>
    <r>
      <t>SKA-mid system (</t>
    </r>
    <r>
      <rPr>
        <i/>
        <sz val="8"/>
        <color theme="1"/>
        <rFont val="Calibri"/>
        <family val="2"/>
        <scheme val="minor"/>
      </rPr>
      <t>S. Schediwy et al.  doi:10.1017/pasa.2018.48</t>
    </r>
    <r>
      <rPr>
        <i/>
        <sz val="9"/>
        <color theme="1"/>
        <rFont val="Calibri"/>
        <family val="2"/>
        <scheme val="minor"/>
      </rPr>
      <t>)
deployed at every 6 stations</t>
    </r>
  </si>
  <si>
    <t>Estimated at 10% of Correlator cost</t>
  </si>
  <si>
    <t>FRB/PULSAR BACKEND</t>
  </si>
  <si>
    <r>
      <t>Cost P5K ($K)</t>
    </r>
    <r>
      <rPr>
        <b/>
        <i/>
        <sz val="11"/>
        <color theme="0"/>
        <rFont val="Calibri"/>
        <family val="2"/>
        <scheme val="minor"/>
      </rPr>
      <t xml:space="preserve">
2019 price</t>
    </r>
  </si>
  <si>
    <r>
      <t>Cost P32K ($K)</t>
    </r>
    <r>
      <rPr>
        <b/>
        <i/>
        <sz val="11"/>
        <color theme="0"/>
        <rFont val="Calibri"/>
        <family val="2"/>
        <scheme val="minor"/>
      </rPr>
      <t xml:space="preserve">
2019 price</t>
    </r>
  </si>
  <si>
    <t>cost deflator
(per ann.)</t>
  </si>
  <si>
    <t>Cost P5K ($K)</t>
  </si>
  <si>
    <t>Cost P32K ($K)</t>
  </si>
  <si>
    <t xml:space="preserve">SITE </t>
  </si>
  <si>
    <t>site prep, diesel generator, roads and
conventional buildings, networking</t>
  </si>
  <si>
    <t>ANTENNA + RECEIVER</t>
  </si>
  <si>
    <t>SCALE P5K</t>
  </si>
  <si>
    <t>SCALE P32K</t>
  </si>
  <si>
    <t>Dual-pol feed</t>
  </si>
  <si>
    <t xml:space="preserve"> 1X LM97600 dual 8b/2.5GSa/s ADC</t>
  </si>
  <si>
    <t>Cost/unit
(2019 $)</t>
  </si>
  <si>
    <t>phase-stabilized clock distribution to all antenna stations</t>
  </si>
  <si>
    <t>No. of antennas</t>
  </si>
  <si>
    <t>CENTRAL PROCESSOR BUILDING</t>
  </si>
  <si>
    <t>Enclosure with RF shielding and filtering, chiller, power distribution</t>
  </si>
  <si>
    <t xml:space="preserve">Est. </t>
  </si>
  <si>
    <t>ANT+RCVR</t>
  </si>
  <si>
    <t>CENTRAL PROC</t>
  </si>
  <si>
    <t>CONTROL, CAL, DM</t>
  </si>
  <si>
    <t>P5K $</t>
  </si>
  <si>
    <t>P32K $</t>
  </si>
  <si>
    <t>P5K %</t>
  </si>
  <si>
    <t>P32K %</t>
  </si>
  <si>
    <t>MGT + SYS.ENG.</t>
  </si>
  <si>
    <t>Bandwidth</t>
  </si>
  <si>
    <t xml:space="preserve">F-engine, corner-turn, and X-engine/beamformer boards; racks, 
backplanes, servers, GPUs, internal cabling </t>
  </si>
  <si>
    <t xml:space="preserve"> TOTAL CONSTRUCTION EQUIPMENT</t>
  </si>
  <si>
    <t>PUMA-5K</t>
  </si>
  <si>
    <t>PUMA-32K</t>
  </si>
  <si>
    <t>FY 21-25</t>
  </si>
  <si>
    <t>FY 21-35</t>
  </si>
  <si>
    <t>FY 26-27</t>
  </si>
  <si>
    <t>FY 28-33</t>
  </si>
  <si>
    <t>FY35-38</t>
  </si>
  <si>
    <t>FY 27-30</t>
  </si>
  <si>
    <t>FY 34-30</t>
  </si>
  <si>
    <t>FY 31-35</t>
  </si>
  <si>
    <t>Research and Development</t>
  </si>
  <si>
    <t>Final design and site selection</t>
  </si>
  <si>
    <t>FY21</t>
  </si>
  <si>
    <t>FY22</t>
  </si>
  <si>
    <t>FY23</t>
  </si>
  <si>
    <t>FY24</t>
  </si>
  <si>
    <t>FY25</t>
  </si>
  <si>
    <t>FY26</t>
  </si>
  <si>
    <t>FY27</t>
  </si>
  <si>
    <t>FY28</t>
  </si>
  <si>
    <t>FY29</t>
  </si>
  <si>
    <t>FY30</t>
  </si>
  <si>
    <t>FY31</t>
  </si>
  <si>
    <t>FY32</t>
  </si>
  <si>
    <t>FY33</t>
  </si>
  <si>
    <t>FY34</t>
  </si>
  <si>
    <t>FY35</t>
  </si>
  <si>
    <t>FY36</t>
  </si>
  <si>
    <t>FY37</t>
  </si>
  <si>
    <t>FY38</t>
  </si>
  <si>
    <t>Construction and  commissioning</t>
  </si>
  <si>
    <t>CORRELATOR</t>
  </si>
  <si>
    <t>fraction of N^2 baselines</t>
  </si>
  <si>
    <t>INSTALL. AND COMM.</t>
  </si>
  <si>
    <r>
      <t>Average of HIRAX-512 est.: $320K/512 dishes
(</t>
    </r>
    <r>
      <rPr>
        <i/>
        <sz val="11"/>
        <color theme="1"/>
        <rFont val="Calibri"/>
        <family val="2"/>
        <scheme val="minor"/>
      </rPr>
      <t>K</t>
    </r>
    <r>
      <rPr>
        <i/>
        <sz val="9"/>
        <color theme="1"/>
        <rFont val="Calibri"/>
        <family val="2"/>
        <scheme val="minor"/>
      </rPr>
      <t>. Vanderlinde 5/9/2019)</t>
    </r>
    <r>
      <rPr>
        <sz val="11"/>
        <color theme="1"/>
        <rFont val="Calibri"/>
        <family val="2"/>
        <scheme val="minor"/>
      </rPr>
      <t xml:space="preserve"> and
DSA-2000 (</t>
    </r>
    <r>
      <rPr>
        <i/>
        <sz val="9"/>
        <color theme="1"/>
        <rFont val="Calibri"/>
        <family val="2"/>
        <scheme val="minor"/>
      </rPr>
      <t>ASTRO2020 APC whitepaper</t>
    </r>
    <r>
      <rPr>
        <sz val="11"/>
        <color theme="1"/>
        <rFont val="Calibri"/>
        <family val="2"/>
        <scheme val="minor"/>
      </rPr>
      <t xml:space="preserve">)
scaling per computing operations rate (ops * bandwidth)
</t>
    </r>
  </si>
  <si>
    <t>48 months Oct. 2020 - Sept. 2024</t>
  </si>
  <si>
    <t>24 months Oct. 2024 - Sept. 2026</t>
  </si>
  <si>
    <t>48 months Oct. 2026 - Sept. 2030</t>
  </si>
  <si>
    <t>60 months Oct. 2020 - Sept. 2025</t>
  </si>
  <si>
    <t>24 months Oct. 2025 - Sept. 2027</t>
  </si>
  <si>
    <t>60 months starting Oct. 2030</t>
  </si>
  <si>
    <t>72 months Oct. 2027 - Sept. 2033</t>
  </si>
  <si>
    <t>FX Correlator cost per unit computation/bandwidth</t>
  </si>
  <si>
    <t>Nch</t>
  </si>
  <si>
    <t>BW</t>
  </si>
  <si>
    <t>Cost</t>
  </si>
  <si>
    <t>Cost/BW</t>
  </si>
  <si>
    <t>CHIME PF -&gt; HIRAX</t>
  </si>
  <si>
    <t>DSA-2000</t>
  </si>
  <si>
    <t>CHIME numbers from spreadsheet for HIRAX estimate from L. Newburgh May 2019</t>
  </si>
  <si>
    <t>Includes correlator (320K), file servers (34K), backplane (10K), cabling (23K), network switch (6K), digitizers + ICE F-engines (645K/2)</t>
  </si>
  <si>
    <t>Lattice sites/antenna</t>
  </si>
  <si>
    <t>average</t>
  </si>
  <si>
    <t>DSA-2000 estimate from APC whitepaper</t>
  </si>
  <si>
    <t>FX Correlator power per unit computation/bandwidth</t>
  </si>
  <si>
    <t>P-5K</t>
  </si>
  <si>
    <t>P-32K</t>
  </si>
  <si>
    <t>N</t>
  </si>
  <si>
    <t>B</t>
  </si>
  <si>
    <t>%N^2</t>
  </si>
  <si>
    <t>Ns</t>
  </si>
  <si>
    <t>aP_CHIME1024</t>
  </si>
  <si>
    <t>aP_DSA</t>
  </si>
  <si>
    <t>aP_CHIME</t>
  </si>
  <si>
    <t>aP_JPL</t>
  </si>
  <si>
    <t>from D'Addario 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</si>
</sst>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  <numFmt numFmtId="165" formatCode="0.0"/>
    <numFmt numFmtId="166" formatCode="&quot;$&quot;#,##0.0_);[Red]\(&quot;$&quot;#,##0.0\)"/>
    <numFmt numFmtId="167" formatCode="&quot;$&quot;#,##0"/>
    <numFmt numFmtId="168" formatCode="0_);[Red]\(0\)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"/>
      <family val="2"/>
    </font>
    <font>
      <u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155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59DD1"/>
        <bgColor indexed="64"/>
      </patternFill>
    </fill>
    <fill>
      <patternFill patternType="solid">
        <fgColor rgb="FFB0D49E"/>
        <bgColor indexed="64"/>
      </patternFill>
    </fill>
    <fill>
      <patternFill patternType="solid">
        <fgColor rgb="FF9EC6D4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000000"/>
      </bottom>
      <diagonal/>
    </border>
    <border>
      <left/>
      <right style="medium">
        <color rgb="FFCCCCCC"/>
      </right>
      <top/>
      <bottom style="medium">
        <color rgb="FF000000"/>
      </bottom>
      <diagonal/>
    </border>
    <border>
      <left style="medium">
        <color rgb="FFCCCCCC"/>
      </left>
      <right style="medium">
        <color auto="1"/>
      </right>
      <top style="thin">
        <color theme="0"/>
      </top>
      <bottom style="medium">
        <color rgb="FF000000"/>
      </bottom>
      <diagonal/>
    </border>
    <border>
      <left style="medium">
        <color rgb="FFCCCCCC"/>
      </left>
      <right style="medium">
        <color auto="1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auto="1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auto="1"/>
      </right>
      <top style="medium">
        <color rgb="FFCCCCCC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 style="medium">
        <color auto="1"/>
      </left>
      <right style="medium">
        <color rgb="FFCCCCCC"/>
      </right>
      <top style="medium">
        <color rgb="FF000000"/>
      </top>
      <bottom style="medium">
        <color auto="1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/>
      <right style="medium">
        <color rgb="FFCCCCCC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thin">
        <color theme="0"/>
      </bottom>
      <diagonal/>
    </border>
    <border>
      <left/>
      <right style="medium">
        <color rgb="FF000000"/>
      </right>
      <top style="medium">
        <color indexed="64"/>
      </top>
      <bottom style="thin">
        <color theme="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theme="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medium">
        <color theme="1"/>
      </bottom>
      <diagonal/>
    </border>
    <border>
      <left style="thin">
        <color auto="1"/>
      </left>
      <right/>
      <top/>
      <bottom style="medium">
        <color theme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3">
    <xf numFmtId="0" fontId="0" fillId="0" borderId="0" xfId="0"/>
    <xf numFmtId="6" fontId="0" fillId="0" borderId="0" xfId="0" applyNumberFormat="1"/>
    <xf numFmtId="0" fontId="0" fillId="4" borderId="0" xfId="0" applyFont="1" applyFill="1"/>
    <xf numFmtId="0" fontId="0" fillId="0" borderId="0" xfId="0" applyFont="1"/>
    <xf numFmtId="6" fontId="0" fillId="0" borderId="0" xfId="0" applyNumberFormat="1" applyFont="1"/>
    <xf numFmtId="6" fontId="0" fillId="4" borderId="0" xfId="0" applyNumberFormat="1" applyFont="1" applyFill="1"/>
    <xf numFmtId="0" fontId="0" fillId="4" borderId="3" xfId="0" applyFont="1" applyFill="1" applyBorder="1"/>
    <xf numFmtId="0" fontId="1" fillId="0" borderId="0" xfId="0" applyFont="1"/>
    <xf numFmtId="0" fontId="0" fillId="0" borderId="3" xfId="0" applyFont="1" applyBorder="1"/>
    <xf numFmtId="6" fontId="0" fillId="0" borderId="3" xfId="0" applyNumberFormat="1" applyFont="1" applyBorder="1"/>
    <xf numFmtId="0" fontId="1" fillId="0" borderId="3" xfId="0" applyFont="1" applyBorder="1"/>
    <xf numFmtId="0" fontId="4" fillId="0" borderId="0" xfId="0" applyFont="1"/>
    <xf numFmtId="164" fontId="0" fillId="0" borderId="0" xfId="0" applyNumberFormat="1"/>
    <xf numFmtId="0" fontId="1" fillId="0" borderId="0" xfId="0" applyFont="1" applyAlignment="1">
      <alignment horizontal="right"/>
    </xf>
    <xf numFmtId="1" fontId="1" fillId="5" borderId="1" xfId="0" applyNumberFormat="1" applyFont="1" applyFill="1" applyBorder="1" applyAlignment="1">
      <alignment horizontal="right"/>
    </xf>
    <xf numFmtId="164" fontId="0" fillId="4" borderId="0" xfId="0" applyNumberFormat="1" applyFont="1" applyFill="1"/>
    <xf numFmtId="164" fontId="0" fillId="0" borderId="3" xfId="0" applyNumberFormat="1" applyFont="1" applyBorder="1"/>
    <xf numFmtId="164" fontId="0" fillId="0" borderId="0" xfId="0" applyNumberFormat="1" applyFont="1"/>
    <xf numFmtId="6" fontId="0" fillId="0" borderId="0" xfId="1" applyNumberFormat="1" applyFont="1"/>
    <xf numFmtId="6" fontId="0" fillId="4" borderId="0" xfId="1" applyNumberFormat="1" applyFont="1" applyFill="1"/>
    <xf numFmtId="0" fontId="3" fillId="3" borderId="4" xfId="0" applyFont="1" applyFill="1" applyBorder="1"/>
    <xf numFmtId="0" fontId="0" fillId="4" borderId="4" xfId="0" applyFont="1" applyFill="1" applyBorder="1"/>
    <xf numFmtId="6" fontId="0" fillId="4" borderId="4" xfId="1" applyNumberFormat="1" applyFont="1" applyFill="1" applyBorder="1"/>
    <xf numFmtId="0" fontId="3" fillId="3" borderId="4" xfId="0" applyFont="1" applyFill="1" applyBorder="1" applyAlignment="1">
      <alignment wrapText="1"/>
    </xf>
    <xf numFmtId="6" fontId="0" fillId="0" borderId="0" xfId="1" applyNumberFormat="1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6" fontId="4" fillId="2" borderId="6" xfId="0" applyNumberFormat="1" applyFont="1" applyFill="1" applyBorder="1"/>
    <xf numFmtId="0" fontId="0" fillId="0" borderId="0" xfId="0" applyFont="1" applyBorder="1"/>
    <xf numFmtId="164" fontId="0" fillId="0" borderId="0" xfId="0" applyNumberFormat="1" applyFont="1" applyBorder="1"/>
    <xf numFmtId="0" fontId="6" fillId="2" borderId="5" xfId="0" applyFont="1" applyFill="1" applyBorder="1"/>
    <xf numFmtId="0" fontId="6" fillId="0" borderId="0" xfId="0" applyFont="1"/>
    <xf numFmtId="0" fontId="6" fillId="2" borderId="6" xfId="0" applyFont="1" applyFill="1" applyBorder="1"/>
    <xf numFmtId="6" fontId="6" fillId="2" borderId="6" xfId="0" applyNumberFormat="1" applyFont="1" applyFill="1" applyBorder="1"/>
    <xf numFmtId="6" fontId="6" fillId="2" borderId="7" xfId="0" applyNumberFormat="1" applyFont="1" applyFill="1" applyBorder="1"/>
    <xf numFmtId="0" fontId="1" fillId="4" borderId="0" xfId="0" applyFont="1" applyFill="1"/>
    <xf numFmtId="0" fontId="3" fillId="3" borderId="2" xfId="0" applyFont="1" applyFill="1" applyBorder="1"/>
    <xf numFmtId="6" fontId="0" fillId="4" borderId="3" xfId="0" applyNumberFormat="1" applyFont="1" applyFill="1" applyBorder="1"/>
    <xf numFmtId="0" fontId="3" fillId="3" borderId="2" xfId="0" applyFont="1" applyFill="1" applyBorder="1" applyAlignment="1">
      <alignment wrapText="1"/>
    </xf>
    <xf numFmtId="6" fontId="1" fillId="0" borderId="3" xfId="1" applyNumberFormat="1" applyFont="1" applyBorder="1"/>
    <xf numFmtId="164" fontId="0" fillId="0" borderId="0" xfId="0" applyNumberFormat="1" applyFont="1" applyFill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7" borderId="3" xfId="0" applyFont="1" applyFill="1" applyBorder="1"/>
    <xf numFmtId="164" fontId="0" fillId="7" borderId="3" xfId="0" applyNumberFormat="1" applyFont="1" applyFill="1" applyBorder="1"/>
    <xf numFmtId="0" fontId="0" fillId="6" borderId="0" xfId="0" applyFont="1" applyFill="1"/>
    <xf numFmtId="164" fontId="0" fillId="6" borderId="0" xfId="0" applyNumberFormat="1" applyFont="1" applyFill="1"/>
    <xf numFmtId="0" fontId="0" fillId="6" borderId="3" xfId="0" applyFont="1" applyFill="1" applyBorder="1"/>
    <xf numFmtId="164" fontId="0" fillId="6" borderId="3" xfId="0" applyNumberFormat="1" applyFont="1" applyFill="1" applyBorder="1"/>
    <xf numFmtId="0" fontId="1" fillId="0" borderId="8" xfId="0" applyFont="1" applyBorder="1"/>
    <xf numFmtId="164" fontId="1" fillId="0" borderId="8" xfId="0" applyNumberFormat="1" applyFont="1" applyBorder="1"/>
    <xf numFmtId="6" fontId="1" fillId="0" borderId="8" xfId="0" applyNumberFormat="1" applyFont="1" applyBorder="1"/>
    <xf numFmtId="0" fontId="1" fillId="0" borderId="8" xfId="0" applyFont="1" applyFill="1" applyBorder="1"/>
    <xf numFmtId="164" fontId="1" fillId="0" borderId="8" xfId="0" applyNumberFormat="1" applyFont="1" applyFill="1" applyBorder="1"/>
    <xf numFmtId="0" fontId="1" fillId="6" borderId="8" xfId="0" applyFont="1" applyFill="1" applyBorder="1"/>
    <xf numFmtId="164" fontId="1" fillId="6" borderId="8" xfId="0" applyNumberFormat="1" applyFont="1" applyFill="1" applyBorder="1"/>
    <xf numFmtId="165" fontId="10" fillId="0" borderId="12" xfId="0" applyNumberFormat="1" applyFont="1" applyBorder="1" applyAlignment="1">
      <alignment horizontal="right" wrapText="1"/>
    </xf>
    <xf numFmtId="165" fontId="9" fillId="0" borderId="9" xfId="0" applyNumberFormat="1" applyFont="1" applyBorder="1" applyAlignment="1">
      <alignment horizontal="right" wrapText="1"/>
    </xf>
    <xf numFmtId="165" fontId="9" fillId="0" borderId="10" xfId="0" applyNumberFormat="1" applyFont="1" applyBorder="1" applyAlignment="1">
      <alignment horizontal="right" wrapText="1"/>
    </xf>
    <xf numFmtId="165" fontId="9" fillId="0" borderId="11" xfId="0" applyNumberFormat="1" applyFont="1" applyBorder="1" applyAlignment="1">
      <alignment horizontal="right" wrapText="1"/>
    </xf>
    <xf numFmtId="165" fontId="9" fillId="0" borderId="12" xfId="0" applyNumberFormat="1" applyFont="1" applyBorder="1" applyAlignment="1">
      <alignment horizontal="right" wrapText="1"/>
    </xf>
    <xf numFmtId="165" fontId="10" fillId="0" borderId="11" xfId="0" applyNumberFormat="1" applyFont="1" applyBorder="1" applyAlignment="1">
      <alignment horizontal="right" wrapText="1"/>
    </xf>
    <xf numFmtId="165" fontId="9" fillId="0" borderId="9" xfId="0" applyNumberFormat="1" applyFont="1" applyBorder="1" applyAlignment="1">
      <alignment horizontal="center" wrapText="1"/>
    </xf>
    <xf numFmtId="165" fontId="9" fillId="0" borderId="16" xfId="0" applyNumberFormat="1" applyFont="1" applyBorder="1" applyAlignment="1">
      <alignment horizontal="center" wrapText="1"/>
    </xf>
    <xf numFmtId="165" fontId="9" fillId="0" borderId="16" xfId="1" applyNumberFormat="1" applyFont="1" applyBorder="1" applyAlignment="1">
      <alignment horizontal="center" wrapText="1"/>
    </xf>
    <xf numFmtId="165" fontId="9" fillId="0" borderId="11" xfId="0" applyNumberFormat="1" applyFont="1" applyBorder="1" applyAlignment="1">
      <alignment horizontal="center" wrapText="1"/>
    </xf>
    <xf numFmtId="165" fontId="9" fillId="0" borderId="17" xfId="0" applyNumberFormat="1" applyFont="1" applyBorder="1" applyAlignment="1">
      <alignment horizontal="center" wrapText="1"/>
    </xf>
    <xf numFmtId="165" fontId="10" fillId="0" borderId="21" xfId="0" applyNumberFormat="1" applyFont="1" applyBorder="1" applyAlignment="1">
      <alignment horizontal="center" wrapText="1"/>
    </xf>
    <xf numFmtId="165" fontId="10" fillId="0" borderId="22" xfId="0" applyNumberFormat="1" applyFont="1" applyBorder="1" applyAlignment="1">
      <alignment horizontal="center" wrapText="1"/>
    </xf>
    <xf numFmtId="0" fontId="8" fillId="8" borderId="13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2" fontId="0" fillId="0" borderId="0" xfId="0" applyNumberFormat="1"/>
    <xf numFmtId="8" fontId="0" fillId="0" borderId="0" xfId="0" applyNumberFormat="1"/>
    <xf numFmtId="6" fontId="1" fillId="0" borderId="0" xfId="0" applyNumberFormat="1" applyFont="1"/>
    <xf numFmtId="9" fontId="0" fillId="0" borderId="0" xfId="0" applyNumberFormat="1"/>
    <xf numFmtId="0" fontId="3" fillId="3" borderId="4" xfId="0" applyFont="1" applyFill="1" applyBorder="1" applyAlignment="1">
      <alignment horizontal="right" wrapText="1"/>
    </xf>
    <xf numFmtId="11" fontId="0" fillId="0" borderId="0" xfId="0" applyNumberFormat="1"/>
    <xf numFmtId="0" fontId="0" fillId="0" borderId="0" xfId="0" applyAlignment="1">
      <alignment wrapText="1"/>
    </xf>
    <xf numFmtId="166" fontId="0" fillId="0" borderId="0" xfId="0" applyNumberFormat="1"/>
    <xf numFmtId="167" fontId="0" fillId="0" borderId="0" xfId="0" applyNumberFormat="1"/>
    <xf numFmtId="0" fontId="0" fillId="4" borderId="4" xfId="1" applyNumberFormat="1" applyFont="1" applyFill="1" applyBorder="1"/>
    <xf numFmtId="168" fontId="0" fillId="0" borderId="0" xfId="1" applyNumberFormat="1" applyFont="1"/>
    <xf numFmtId="168" fontId="0" fillId="4" borderId="0" xfId="1" applyNumberFormat="1" applyFont="1" applyFill="1"/>
    <xf numFmtId="3" fontId="0" fillId="4" borderId="4" xfId="1" applyNumberFormat="1" applyFont="1" applyFill="1" applyBorder="1"/>
    <xf numFmtId="3" fontId="0" fillId="0" borderId="0" xfId="0" applyNumberFormat="1"/>
    <xf numFmtId="3" fontId="0" fillId="4" borderId="0" xfId="1" applyNumberFormat="1" applyFont="1" applyFill="1"/>
    <xf numFmtId="6" fontId="2" fillId="4" borderId="4" xfId="1" applyNumberFormat="1" applyFont="1" applyFill="1" applyBorder="1"/>
    <xf numFmtId="167" fontId="0" fillId="4" borderId="0" xfId="0" applyNumberFormat="1" applyFont="1" applyFill="1"/>
    <xf numFmtId="167" fontId="0" fillId="6" borderId="0" xfId="0" applyNumberFormat="1" applyFont="1" applyFill="1"/>
    <xf numFmtId="0" fontId="0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wrapText="1"/>
    </xf>
    <xf numFmtId="6" fontId="0" fillId="4" borderId="0" xfId="0" applyNumberFormat="1" applyFont="1" applyFill="1" applyBorder="1"/>
    <xf numFmtId="0" fontId="0" fillId="6" borderId="0" xfId="0" applyFont="1" applyFill="1" applyBorder="1"/>
    <xf numFmtId="6" fontId="0" fillId="6" borderId="0" xfId="1" applyNumberFormat="1" applyFont="1" applyFill="1"/>
    <xf numFmtId="3" fontId="0" fillId="6" borderId="0" xfId="1" applyNumberFormat="1" applyFont="1" applyFill="1"/>
    <xf numFmtId="0" fontId="3" fillId="3" borderId="4" xfId="0" applyFont="1" applyFill="1" applyBorder="1" applyAlignment="1">
      <alignment horizontal="center" wrapText="1"/>
    </xf>
    <xf numFmtId="0" fontId="0" fillId="0" borderId="0" xfId="0" applyFill="1"/>
    <xf numFmtId="0" fontId="1" fillId="0" borderId="0" xfId="0" applyFont="1" applyFill="1" applyAlignment="1">
      <alignment horizontal="right"/>
    </xf>
    <xf numFmtId="1" fontId="1" fillId="0" borderId="3" xfId="0" applyNumberFormat="1" applyFont="1" applyFill="1" applyBorder="1" applyAlignment="1">
      <alignment horizontal="right"/>
    </xf>
    <xf numFmtId="0" fontId="3" fillId="3" borderId="4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 wrapText="1"/>
    </xf>
    <xf numFmtId="11" fontId="0" fillId="0" borderId="2" xfId="0" applyNumberFormat="1" applyFont="1" applyFill="1" applyBorder="1" applyAlignment="1">
      <alignment vertical="center"/>
    </xf>
    <xf numFmtId="6" fontId="1" fillId="0" borderId="2" xfId="0" applyNumberFormat="1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6" fontId="1" fillId="0" borderId="2" xfId="1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horizontal="center" wrapText="1"/>
    </xf>
    <xf numFmtId="0" fontId="13" fillId="3" borderId="2" xfId="0" applyFont="1" applyFill="1" applyBorder="1"/>
    <xf numFmtId="0" fontId="0" fillId="0" borderId="3" xfId="0" applyFont="1" applyFill="1" applyBorder="1" applyAlignment="1">
      <alignment horizontal="right"/>
    </xf>
    <xf numFmtId="1" fontId="0" fillId="0" borderId="3" xfId="0" applyNumberFormat="1" applyFont="1" applyFill="1" applyBorder="1" applyAlignment="1">
      <alignment horizontal="right"/>
    </xf>
    <xf numFmtId="0" fontId="1" fillId="0" borderId="2" xfId="0" applyFont="1" applyFill="1" applyBorder="1"/>
    <xf numFmtId="0" fontId="1" fillId="0" borderId="2" xfId="0" applyFont="1" applyFill="1" applyBorder="1" applyAlignment="1">
      <alignment wrapText="1"/>
    </xf>
    <xf numFmtId="6" fontId="1" fillId="0" borderId="2" xfId="1" applyNumberFormat="1" applyFont="1" applyFill="1" applyBorder="1"/>
    <xf numFmtId="6" fontId="0" fillId="0" borderId="3" xfId="1" applyNumberFormat="1" applyFont="1" applyFill="1" applyBorder="1" applyAlignment="1">
      <alignment vertical="center" wrapText="1"/>
    </xf>
    <xf numFmtId="6" fontId="0" fillId="0" borderId="3" xfId="1" applyNumberFormat="1" applyFont="1" applyFill="1" applyBorder="1" applyAlignment="1">
      <alignment vertical="center"/>
    </xf>
    <xf numFmtId="168" fontId="0" fillId="0" borderId="3" xfId="1" applyNumberFormat="1" applyFont="1" applyFill="1" applyBorder="1" applyAlignment="1">
      <alignment vertical="center"/>
    </xf>
    <xf numFmtId="6" fontId="1" fillId="0" borderId="3" xfId="1" applyNumberFormat="1" applyFont="1" applyFill="1" applyBorder="1" applyAlignment="1">
      <alignment vertical="center"/>
    </xf>
    <xf numFmtId="0" fontId="0" fillId="0" borderId="3" xfId="1" applyNumberFormat="1" applyFont="1" applyFill="1" applyBorder="1" applyAlignment="1">
      <alignment vertical="center"/>
    </xf>
    <xf numFmtId="0" fontId="0" fillId="0" borderId="2" xfId="0" applyFont="1" applyFill="1" applyBorder="1"/>
    <xf numFmtId="6" fontId="1" fillId="0" borderId="2" xfId="0" applyNumberFormat="1" applyFont="1" applyFill="1" applyBorder="1"/>
    <xf numFmtId="0" fontId="0" fillId="0" borderId="2" xfId="0" applyFont="1" applyFill="1" applyBorder="1" applyAlignment="1">
      <alignment vertical="center" wrapText="1"/>
    </xf>
    <xf numFmtId="6" fontId="0" fillId="0" borderId="2" xfId="0" applyNumberFormat="1" applyFont="1" applyFill="1" applyBorder="1" applyAlignment="1">
      <alignment vertical="center"/>
    </xf>
    <xf numFmtId="9" fontId="1" fillId="0" borderId="0" xfId="0" applyNumberFormat="1" applyFont="1"/>
    <xf numFmtId="0" fontId="0" fillId="0" borderId="23" xfId="0" applyFont="1" applyBorder="1"/>
    <xf numFmtId="0" fontId="0" fillId="0" borderId="23" xfId="0" applyBorder="1"/>
    <xf numFmtId="6" fontId="0" fillId="0" borderId="23" xfId="0" applyNumberFormat="1" applyBorder="1"/>
    <xf numFmtId="9" fontId="0" fillId="0" borderId="23" xfId="0" applyNumberFormat="1" applyBorder="1"/>
    <xf numFmtId="0" fontId="8" fillId="8" borderId="24" xfId="0" applyFont="1" applyFill="1" applyBorder="1" applyAlignment="1">
      <alignment horizontal="center" vertical="center" wrapText="1"/>
    </xf>
    <xf numFmtId="165" fontId="9" fillId="0" borderId="25" xfId="0" applyNumberFormat="1" applyFont="1" applyBorder="1" applyAlignment="1">
      <alignment horizontal="center" wrapText="1"/>
    </xf>
    <xf numFmtId="165" fontId="9" fillId="0" borderId="25" xfId="1" applyNumberFormat="1" applyFont="1" applyBorder="1" applyAlignment="1">
      <alignment horizontal="center" wrapText="1"/>
    </xf>
    <xf numFmtId="165" fontId="9" fillId="0" borderId="26" xfId="0" applyNumberFormat="1" applyFont="1" applyBorder="1" applyAlignment="1">
      <alignment horizontal="center" wrapText="1"/>
    </xf>
    <xf numFmtId="165" fontId="9" fillId="0" borderId="27" xfId="0" applyNumberFormat="1" applyFont="1" applyBorder="1" applyAlignment="1">
      <alignment horizontal="center" wrapText="1"/>
    </xf>
    <xf numFmtId="165" fontId="9" fillId="0" borderId="28" xfId="0" applyNumberFormat="1" applyFont="1" applyBorder="1" applyAlignment="1">
      <alignment horizontal="center" wrapText="1"/>
    </xf>
    <xf numFmtId="165" fontId="9" fillId="0" borderId="29" xfId="0" applyNumberFormat="1" applyFont="1" applyBorder="1" applyAlignment="1">
      <alignment horizontal="center" wrapText="1"/>
    </xf>
    <xf numFmtId="165" fontId="10" fillId="0" borderId="30" xfId="0" applyNumberFormat="1" applyFont="1" applyBorder="1" applyAlignment="1">
      <alignment horizontal="center" wrapText="1"/>
    </xf>
    <xf numFmtId="165" fontId="9" fillId="0" borderId="31" xfId="0" applyNumberFormat="1" applyFont="1" applyBorder="1" applyAlignment="1">
      <alignment horizontal="center" wrapText="1"/>
    </xf>
    <xf numFmtId="165" fontId="9" fillId="0" borderId="31" xfId="1" applyNumberFormat="1" applyFont="1" applyBorder="1" applyAlignment="1">
      <alignment horizontal="center" wrapText="1"/>
    </xf>
    <xf numFmtId="165" fontId="9" fillId="0" borderId="32" xfId="0" applyNumberFormat="1" applyFont="1" applyBorder="1" applyAlignment="1">
      <alignment horizontal="center" wrapText="1"/>
    </xf>
    <xf numFmtId="165" fontId="9" fillId="0" borderId="33" xfId="0" applyNumberFormat="1" applyFont="1" applyBorder="1" applyAlignment="1">
      <alignment horizontal="center" wrapText="1"/>
    </xf>
    <xf numFmtId="0" fontId="8" fillId="8" borderId="34" xfId="0" applyFont="1" applyFill="1" applyBorder="1" applyAlignment="1">
      <alignment vertical="center" wrapText="1"/>
    </xf>
    <xf numFmtId="0" fontId="9" fillId="0" borderId="35" xfId="0" applyFont="1" applyBorder="1" applyAlignment="1">
      <alignment wrapText="1"/>
    </xf>
    <xf numFmtId="0" fontId="9" fillId="0" borderId="35" xfId="0" applyFont="1" applyBorder="1" applyAlignment="1">
      <alignment vertical="center" wrapText="1"/>
    </xf>
    <xf numFmtId="0" fontId="9" fillId="0" borderId="36" xfId="0" applyFont="1" applyBorder="1" applyAlignment="1">
      <alignment wrapText="1"/>
    </xf>
    <xf numFmtId="0" fontId="10" fillId="0" borderId="36" xfId="0" applyFont="1" applyBorder="1" applyAlignment="1">
      <alignment wrapText="1"/>
    </xf>
    <xf numFmtId="0" fontId="8" fillId="8" borderId="39" xfId="0" applyFont="1" applyFill="1" applyBorder="1" applyAlignment="1">
      <alignment wrapText="1"/>
    </xf>
    <xf numFmtId="0" fontId="15" fillId="0" borderId="0" xfId="0" applyFont="1"/>
    <xf numFmtId="0" fontId="0" fillId="10" borderId="40" xfId="0" applyFill="1" applyBorder="1"/>
    <xf numFmtId="0" fontId="0" fillId="10" borderId="0" xfId="0" applyFill="1" applyBorder="1"/>
    <xf numFmtId="0" fontId="0" fillId="0" borderId="0" xfId="0" applyBorder="1"/>
    <xf numFmtId="0" fontId="0" fillId="0" borderId="41" xfId="0" applyBorder="1"/>
    <xf numFmtId="0" fontId="0" fillId="0" borderId="40" xfId="0" applyBorder="1"/>
    <xf numFmtId="0" fontId="0" fillId="11" borderId="0" xfId="0" applyFill="1" applyBorder="1"/>
    <xf numFmtId="0" fontId="0" fillId="12" borderId="0" xfId="0" applyFill="1" applyBorder="1"/>
    <xf numFmtId="0" fontId="0" fillId="0" borderId="42" xfId="0" applyBorder="1"/>
    <xf numFmtId="0" fontId="0" fillId="0" borderId="43" xfId="0" applyBorder="1"/>
    <xf numFmtId="0" fontId="0" fillId="9" borderId="43" xfId="0" applyFill="1" applyBorder="1"/>
    <xf numFmtId="0" fontId="0" fillId="9" borderId="44" xfId="0" applyFill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11" fontId="0" fillId="0" borderId="4" xfId="0" applyNumberFormat="1" applyFont="1" applyFill="1" applyBorder="1" applyAlignment="1">
      <alignment vertical="center"/>
    </xf>
    <xf numFmtId="1" fontId="1" fillId="0" borderId="50" xfId="0" applyNumberFormat="1" applyFont="1" applyFill="1" applyBorder="1" applyAlignment="1">
      <alignment horizontal="right"/>
    </xf>
    <xf numFmtId="1" fontId="1" fillId="0" borderId="51" xfId="0" applyNumberFormat="1" applyFont="1" applyFill="1" applyBorder="1" applyAlignment="1">
      <alignment horizontal="right"/>
    </xf>
    <xf numFmtId="0" fontId="16" fillId="0" borderId="0" xfId="0" applyFont="1" applyBorder="1"/>
    <xf numFmtId="0" fontId="17" fillId="9" borderId="43" xfId="0" applyFont="1" applyFill="1" applyBorder="1"/>
    <xf numFmtId="0" fontId="18" fillId="0" borderId="0" xfId="0" applyFont="1"/>
    <xf numFmtId="0" fontId="12" fillId="8" borderId="19" xfId="0" applyFont="1" applyFill="1" applyBorder="1" applyAlignment="1">
      <alignment horizontal="center"/>
    </xf>
    <xf numFmtId="0" fontId="12" fillId="8" borderId="20" xfId="0" applyFont="1" applyFill="1" applyBorder="1" applyAlignment="1">
      <alignment horizontal="center"/>
    </xf>
    <xf numFmtId="0" fontId="12" fillId="8" borderId="37" xfId="0" applyFont="1" applyFill="1" applyBorder="1" applyAlignment="1">
      <alignment horizontal="center"/>
    </xf>
    <xf numFmtId="0" fontId="12" fillId="8" borderId="38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9EC6D4"/>
      <color rgb="FFB0D49E"/>
      <color rgb="FFD59DD1"/>
      <color rgb="FF99FF66"/>
      <color rgb="FFFF99FF"/>
      <color rgb="FF1155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PUMA-32K </a:t>
            </a:r>
          </a:p>
          <a:p>
            <a:pPr>
              <a:defRPr sz="1800"/>
            </a:pPr>
            <a:r>
              <a:rPr lang="en-US" sz="1800"/>
              <a:t>TOTAL</a:t>
            </a:r>
            <a:r>
              <a:rPr lang="en-US" sz="1800" baseline="0"/>
              <a:t> </a:t>
            </a:r>
            <a:r>
              <a:rPr lang="en-US" sz="1800"/>
              <a:t>$373.4M</a:t>
            </a:r>
          </a:p>
        </c:rich>
      </c:tx>
      <c:layout>
        <c:manualLayout>
          <c:xMode val="edge"/>
          <c:yMode val="edge"/>
          <c:x val="4.4336175975503975E-2"/>
          <c:y val="1.85817233179307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7685901951976671"/>
          <c:y val="0.25599735742445562"/>
          <c:w val="0.49816264423995904"/>
          <c:h val="0.53419100602688918"/>
        </c:manualLayout>
      </c:layout>
      <c:pieChart>
        <c:varyColors val="1"/>
        <c:ser>
          <c:idx val="0"/>
          <c:order val="0"/>
          <c:spPr>
            <a:effectLst/>
          </c:spPr>
          <c:explosion val="4"/>
          <c:dPt>
            <c:idx val="0"/>
            <c:bubble3D val="0"/>
            <c:explosion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16-4B94-B7D2-253969587742}"/>
              </c:ext>
            </c:extLst>
          </c:dPt>
          <c:dPt>
            <c:idx val="1"/>
            <c:bubble3D val="0"/>
            <c:explosion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16-4B94-B7D2-253969587742}"/>
              </c:ext>
            </c:extLst>
          </c:dPt>
          <c:dPt>
            <c:idx val="2"/>
            <c:bubble3D val="0"/>
            <c:explosion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16-4B94-B7D2-253969587742}"/>
              </c:ext>
            </c:extLst>
          </c:dPt>
          <c:dPt>
            <c:idx val="3"/>
            <c:bubble3D val="0"/>
            <c:explosion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16-4B94-B7D2-253969587742}"/>
              </c:ext>
            </c:extLst>
          </c:dPt>
          <c:dPt>
            <c:idx val="4"/>
            <c:bubble3D val="0"/>
            <c:explosion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16-4B94-B7D2-253969587742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16-4B94-B7D2-253969587742}"/>
              </c:ext>
            </c:extLst>
          </c:dPt>
          <c:dPt>
            <c:idx val="6"/>
            <c:bubble3D val="0"/>
            <c:explosion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16-4B94-B7D2-253969587742}"/>
              </c:ext>
            </c:extLst>
          </c:dPt>
          <c:dPt>
            <c:idx val="7"/>
            <c:bubble3D val="0"/>
            <c:explosion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116-4B94-B7D2-253969587742}"/>
              </c:ext>
            </c:extLst>
          </c:dPt>
          <c:dPt>
            <c:idx val="8"/>
            <c:bubble3D val="0"/>
            <c:explosion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1116-4B94-B7D2-253969587742}"/>
              </c:ext>
            </c:extLst>
          </c:dPt>
          <c:dLbls>
            <c:dLbl>
              <c:idx val="0"/>
              <c:layout>
                <c:manualLayout>
                  <c:x val="6.2808398950131142E-2"/>
                  <c:y val="3.20401005474677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16-4B94-B7D2-253969587742}"/>
                </c:ext>
              </c:extLst>
            </c:dLbl>
            <c:dLbl>
              <c:idx val="1"/>
              <c:layout>
                <c:manualLayout>
                  <c:x val="3.0108498372515901E-2"/>
                  <c:y val="-5.20163248022369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16-4B94-B7D2-253969587742}"/>
                </c:ext>
              </c:extLst>
            </c:dLbl>
            <c:dLbl>
              <c:idx val="2"/>
              <c:layout>
                <c:manualLayout>
                  <c:x val="-0.24931374690022279"/>
                  <c:y val="2.1707569933452339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2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1116-4B94-B7D2-253969587742}"/>
                </c:ext>
              </c:extLst>
            </c:dLbl>
            <c:dLbl>
              <c:idx val="3"/>
              <c:layout>
                <c:manualLayout>
                  <c:x val="-0.10168630944002054"/>
                  <c:y val="9.557419717528355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16-4B94-B7D2-253969587742}"/>
                </c:ext>
              </c:extLst>
            </c:dLbl>
            <c:dLbl>
              <c:idx val="4"/>
              <c:layout>
                <c:manualLayout>
                  <c:x val="-5.1468088869159399E-2"/>
                  <c:y val="-2.37364887803489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16-4B94-B7D2-253969587742}"/>
                </c:ext>
              </c:extLst>
            </c:dLbl>
            <c:dLbl>
              <c:idx val="5"/>
              <c:layout>
                <c:manualLayout>
                  <c:x val="-3.6755796023808601E-2"/>
                  <c:y val="-2.69883076159290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16-4B94-B7D2-253969587742}"/>
                </c:ext>
              </c:extLst>
            </c:dLbl>
            <c:dLbl>
              <c:idx val="6"/>
              <c:layout>
                <c:manualLayout>
                  <c:x val="-5.7033858103267407E-3"/>
                  <c:y val="-2.39166383756968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865753795860059"/>
                      <c:h val="0.100347705146036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1116-4B94-B7D2-253969587742}"/>
                </c:ext>
              </c:extLst>
            </c:dLbl>
            <c:dLbl>
              <c:idx val="7"/>
              <c:layout>
                <c:manualLayout>
                  <c:x val="-3.389010316392168E-2"/>
                  <c:y val="2.8485903796100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304803269572407"/>
                      <c:h val="0.100347705146036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1116-4B94-B7D2-253969587742}"/>
                </c:ext>
              </c:extLst>
            </c:dLbl>
            <c:dLbl>
              <c:idx val="8"/>
              <c:layout>
                <c:manualLayout>
                  <c:x val="-4.6145212466546917E-2"/>
                  <c:y val="8.345471072026983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116-4B94-B7D2-2539695877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Construction_Breakdown!$M$4:$M$12</c:f>
              <c:strCache>
                <c:ptCount val="9"/>
                <c:pt idx="0">
                  <c:v>SITE UPGRADE</c:v>
                </c:pt>
                <c:pt idx="1">
                  <c:v>ANT+RCVR</c:v>
                </c:pt>
                <c:pt idx="2">
                  <c:v>CORRELATOR</c:v>
                </c:pt>
                <c:pt idx="3">
                  <c:v>FRB/PULSAR BACKEND</c:v>
                </c:pt>
                <c:pt idx="4">
                  <c:v>TIMING DISTRIBUTION</c:v>
                </c:pt>
                <c:pt idx="5">
                  <c:v>CENTRAL PROC</c:v>
                </c:pt>
                <c:pt idx="6">
                  <c:v>CONTROL, CAL, DM</c:v>
                </c:pt>
                <c:pt idx="7">
                  <c:v>INSTALL. AND COMM.</c:v>
                </c:pt>
                <c:pt idx="8">
                  <c:v>MGT + SYS.ENG.</c:v>
                </c:pt>
              </c:strCache>
            </c:strRef>
          </c:cat>
          <c:val>
            <c:numRef>
              <c:f>Construction_Breakdown!$P$4:$P$12</c:f>
              <c:numCache>
                <c:formatCode>"$"#,##0_);[Red]\("$"#,##0\)</c:formatCode>
                <c:ptCount val="9"/>
                <c:pt idx="0">
                  <c:v>8000</c:v>
                </c:pt>
                <c:pt idx="1">
                  <c:v>147222.32729316768</c:v>
                </c:pt>
                <c:pt idx="2">
                  <c:v>82610.302045874079</c:v>
                </c:pt>
                <c:pt idx="3">
                  <c:v>10269.552108472713</c:v>
                </c:pt>
                <c:pt idx="4">
                  <c:v>33322.036980525743</c:v>
                </c:pt>
                <c:pt idx="5">
                  <c:v>2604.3765997401592</c:v>
                </c:pt>
                <c:pt idx="6">
                  <c:v>34443.261960462587</c:v>
                </c:pt>
                <c:pt idx="7">
                  <c:v>31733.132739392655</c:v>
                </c:pt>
                <c:pt idx="8">
                  <c:v>23170.736929290561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116-4B94-B7D2-253969587742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PUMA-5K</a:t>
            </a:r>
          </a:p>
          <a:p>
            <a:pPr>
              <a:defRPr sz="2000" b="1"/>
            </a:pPr>
            <a:r>
              <a:rPr lang="en-US" sz="2000" b="1"/>
              <a:t>TOTAL $58.8M</a:t>
            </a:r>
          </a:p>
        </c:rich>
      </c:tx>
      <c:layout>
        <c:manualLayout>
          <c:xMode val="edge"/>
          <c:yMode val="edge"/>
          <c:x val="6.9362610453447077E-2"/>
          <c:y val="1.5851449275362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743432036795672"/>
          <c:y val="0.21874750370877552"/>
          <c:w val="0.51367886022615372"/>
          <c:h val="0.5246549042480801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857-4382-B100-C619F3E5DA0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857-4382-B100-C619F3E5DA00}"/>
              </c:ext>
            </c:extLst>
          </c:dPt>
          <c:dPt>
            <c:idx val="2"/>
            <c:bubble3D val="0"/>
            <c:explosion val="1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857-4382-B100-C619F3E5DA0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857-4382-B100-C619F3E5DA0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857-4382-B100-C619F3E5DA0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857-4382-B100-C619F3E5DA0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857-4382-B100-C619F3E5DA0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857-4382-B100-C619F3E5DA0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857-4382-B100-C619F3E5DA00}"/>
              </c:ext>
            </c:extLst>
          </c:dPt>
          <c:dLbls>
            <c:dLbl>
              <c:idx val="0"/>
              <c:layout>
                <c:manualLayout>
                  <c:x val="7.205950720595064E-2"/>
                  <c:y val="-9.496676163342852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57-4382-B100-C619F3E5DA00}"/>
                </c:ext>
              </c:extLst>
            </c:dLbl>
            <c:dLbl>
              <c:idx val="1"/>
              <c:layout>
                <c:manualLayout>
                  <c:x val="2.8072140777204491E-2"/>
                  <c:y val="5.1463896496633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57-4382-B100-C619F3E5DA00}"/>
                </c:ext>
              </c:extLst>
            </c:dLbl>
            <c:dLbl>
              <c:idx val="2"/>
              <c:layout>
                <c:manualLayout>
                  <c:x val="-5.1673183464926005E-2"/>
                  <c:y val="0.117392374186922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57-4382-B100-C619F3E5DA00}"/>
                </c:ext>
              </c:extLst>
            </c:dLbl>
            <c:dLbl>
              <c:idx val="3"/>
              <c:layout>
                <c:manualLayout>
                  <c:x val="-0.1301720130172013"/>
                  <c:y val="3.32383665716999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57-4382-B100-C619F3E5DA00}"/>
                </c:ext>
              </c:extLst>
            </c:dLbl>
            <c:dLbl>
              <c:idx val="4"/>
              <c:layout>
                <c:manualLayout>
                  <c:x val="-4.184100418410043E-2"/>
                  <c:y val="1.66191832858498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57-4382-B100-C619F3E5DA00}"/>
                </c:ext>
              </c:extLst>
            </c:dLbl>
            <c:dLbl>
              <c:idx val="5"/>
              <c:layout>
                <c:manualLayout>
                  <c:x val="-3.7192003719200381E-2"/>
                  <c:y val="1.89933523266856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857-4382-B100-C619F3E5DA00}"/>
                </c:ext>
              </c:extLst>
            </c:dLbl>
            <c:dLbl>
              <c:idx val="6"/>
              <c:layout>
                <c:manualLayout>
                  <c:x val="-4.1841004184100417E-2"/>
                  <c:y val="-4.74833808167141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857-4382-B100-C619F3E5DA00}"/>
                </c:ext>
              </c:extLst>
            </c:dLbl>
            <c:dLbl>
              <c:idx val="7"/>
              <c:layout>
                <c:manualLayout>
                  <c:x val="-2.7894002789400289E-2"/>
                  <c:y val="4.748338081671393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752955043799441"/>
                      <c:h val="8.619691769298069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0857-4382-B100-C619F3E5DA00}"/>
                </c:ext>
              </c:extLst>
            </c:dLbl>
            <c:dLbl>
              <c:idx val="8"/>
              <c:layout>
                <c:manualLayout>
                  <c:x val="2.3245002324500191E-2"/>
                  <c:y val="-1.42450142450142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857-4382-B100-C619F3E5DA00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accentCallout2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Construction_Breakdown!$M$4:$M$12</c:f>
              <c:strCache>
                <c:ptCount val="9"/>
                <c:pt idx="0">
                  <c:v>SITE UPGRADE</c:v>
                </c:pt>
                <c:pt idx="1">
                  <c:v>ANT+RCVR</c:v>
                </c:pt>
                <c:pt idx="2">
                  <c:v>CORRELATOR</c:v>
                </c:pt>
                <c:pt idx="3">
                  <c:v>FRB/PULSAR BACKEND</c:v>
                </c:pt>
                <c:pt idx="4">
                  <c:v>TIMING DISTRIBUTION</c:v>
                </c:pt>
                <c:pt idx="5">
                  <c:v>CENTRAL PROC</c:v>
                </c:pt>
                <c:pt idx="6">
                  <c:v>CONTROL, CAL, DM</c:v>
                </c:pt>
                <c:pt idx="7">
                  <c:v>INSTALL. AND COMM.</c:v>
                </c:pt>
                <c:pt idx="8">
                  <c:v>MGT + SYS.ENG.</c:v>
                </c:pt>
              </c:strCache>
            </c:strRef>
          </c:cat>
          <c:val>
            <c:numRef>
              <c:f>Construction_Breakdown!$O$4:$O$12</c:f>
              <c:numCache>
                <c:formatCode>"$"#,##0_);[Red]\("$"#,##0\)</c:formatCode>
                <c:ptCount val="9"/>
                <c:pt idx="0">
                  <c:v>5000</c:v>
                </c:pt>
                <c:pt idx="1">
                  <c:v>24055.570404528331</c:v>
                </c:pt>
                <c:pt idx="2">
                  <c:v>7745.2606382128515</c:v>
                </c:pt>
                <c:pt idx="3">
                  <c:v>904.79124364795246</c:v>
                </c:pt>
                <c:pt idx="4">
                  <c:v>6151.4275498666684</c:v>
                </c:pt>
                <c:pt idx="5">
                  <c:v>903.92079679999983</c:v>
                </c:pt>
                <c:pt idx="6">
                  <c:v>5428.0233191595407</c:v>
                </c:pt>
                <c:pt idx="7">
                  <c:v>5000.9254262018521</c:v>
                </c:pt>
                <c:pt idx="8">
                  <c:v>3651.550207952811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857-4382-B100-C619F3E5D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259080</xdr:colOff>
      <xdr:row>1</xdr:row>
      <xdr:rowOff>114300</xdr:rowOff>
    </xdr:from>
    <xdr:to>
      <xdr:col>22</xdr:col>
      <xdr:colOff>38099</xdr:colOff>
      <xdr:row>32</xdr:row>
      <xdr:rowOff>30480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9F1DF4-79B5-48DA-8EBC-C92307623A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586740</xdr:colOff>
      <xdr:row>1</xdr:row>
      <xdr:rowOff>99060</xdr:rowOff>
    </xdr:from>
    <xdr:to>
      <xdr:col>12</xdr:col>
      <xdr:colOff>60960</xdr:colOff>
      <xdr:row>32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D4EF48C-C783-42CE-8D73-23B2AA150D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90"/>
  <sheetViews>
    <sheetView tabSelected="1" zoomScaleNormal="100" workbookViewId="0">
      <selection activeCell="N68" sqref="N68"/>
    </sheetView>
  </sheetViews>
  <sheetFormatPr defaultRowHeight="14.4" x14ac:dyDescent="0.3"/>
  <cols>
    <col min="2" max="2" width="23.88671875" bestFit="1" customWidth="1"/>
    <col min="3" max="3" width="40.5546875" bestFit="1" customWidth="1"/>
    <col min="4" max="4" width="17.6640625" customWidth="1"/>
    <col min="5" max="5" width="15.33203125" customWidth="1"/>
    <col min="6" max="6" width="12.77734375" customWidth="1"/>
    <col min="7" max="8" width="13.5546875" bestFit="1" customWidth="1"/>
    <col min="9" max="9" width="15.6640625" customWidth="1"/>
    <col min="10" max="10" width="14.109375" customWidth="1"/>
    <col min="11" max="11" width="16.33203125" bestFit="1" customWidth="1"/>
    <col min="12" max="12" width="11.44140625" bestFit="1" customWidth="1"/>
    <col min="13" max="13" width="13" bestFit="1" customWidth="1"/>
    <col min="14" max="14" width="11.44140625" bestFit="1" customWidth="1"/>
    <col min="15" max="15" width="12.6640625" bestFit="1" customWidth="1"/>
    <col min="16" max="16" width="11.6640625" customWidth="1"/>
    <col min="18" max="19" width="13" bestFit="1" customWidth="1"/>
    <col min="21" max="21" width="13" bestFit="1" customWidth="1"/>
  </cols>
  <sheetData>
    <row r="1" spans="2:18" x14ac:dyDescent="0.3">
      <c r="D1" t="s">
        <v>155</v>
      </c>
      <c r="E1">
        <v>20</v>
      </c>
      <c r="F1">
        <v>20</v>
      </c>
    </row>
    <row r="2" spans="2:18" x14ac:dyDescent="0.3">
      <c r="D2" t="s">
        <v>136</v>
      </c>
      <c r="E2">
        <v>0.01</v>
      </c>
      <c r="F2">
        <v>0.01</v>
      </c>
    </row>
    <row r="3" spans="2:18" x14ac:dyDescent="0.3">
      <c r="D3" t="s">
        <v>101</v>
      </c>
      <c r="E3" s="78">
        <v>900000000</v>
      </c>
      <c r="F3" s="78">
        <v>900000000</v>
      </c>
      <c r="O3" t="s">
        <v>96</v>
      </c>
      <c r="P3" t="s">
        <v>97</v>
      </c>
      <c r="Q3" t="s">
        <v>98</v>
      </c>
      <c r="R3" t="s">
        <v>99</v>
      </c>
    </row>
    <row r="4" spans="2:18" ht="18.600000000000001" thickBot="1" x14ac:dyDescent="0.4">
      <c r="B4" s="11" t="s">
        <v>80</v>
      </c>
      <c r="D4" t="s">
        <v>89</v>
      </c>
      <c r="E4">
        <v>5000</v>
      </c>
      <c r="F4">
        <v>32000</v>
      </c>
      <c r="I4" s="13" t="s">
        <v>50</v>
      </c>
      <c r="J4" s="14">
        <v>5</v>
      </c>
      <c r="K4" s="14">
        <v>7</v>
      </c>
      <c r="M4" s="3" t="s">
        <v>52</v>
      </c>
      <c r="O4" s="1">
        <f>J6</f>
        <v>5000</v>
      </c>
      <c r="P4" s="1">
        <f>K6</f>
        <v>8000</v>
      </c>
      <c r="Q4" s="76">
        <f>O4/O$13</f>
        <v>8.4974084351526744E-2</v>
      </c>
      <c r="R4" s="76">
        <f>P4/P$13</f>
        <v>2.1426138414591546E-2</v>
      </c>
    </row>
    <row r="5" spans="2:18" ht="29.4" thickBot="1" x14ac:dyDescent="0.35">
      <c r="B5" s="20" t="s">
        <v>0</v>
      </c>
      <c r="C5" s="20" t="s">
        <v>5</v>
      </c>
      <c r="D5" s="97" t="s">
        <v>87</v>
      </c>
      <c r="E5" s="20" t="s">
        <v>83</v>
      </c>
      <c r="F5" s="20" t="s">
        <v>84</v>
      </c>
      <c r="G5" s="23" t="s">
        <v>75</v>
      </c>
      <c r="H5" s="23" t="s">
        <v>76</v>
      </c>
      <c r="I5" s="77" t="s">
        <v>77</v>
      </c>
      <c r="J5" s="20" t="s">
        <v>78</v>
      </c>
      <c r="K5" s="20" t="s">
        <v>79</v>
      </c>
      <c r="M5" s="3" t="s">
        <v>93</v>
      </c>
      <c r="O5" s="1">
        <f>J24</f>
        <v>24055.570404528331</v>
      </c>
      <c r="P5" s="1">
        <f>K24</f>
        <v>147222.32729316768</v>
      </c>
      <c r="Q5" s="76">
        <f t="shared" ref="Q5:Q12" si="0">O5/O$13</f>
        <v>0.40882001373569615</v>
      </c>
      <c r="R5" s="76">
        <f t="shared" ref="R5:R12" si="1">P5/P$13</f>
        <v>0.39430074528771369</v>
      </c>
    </row>
    <row r="6" spans="2:18" ht="29.4" thickBot="1" x14ac:dyDescent="0.35">
      <c r="B6" s="111" t="s">
        <v>54</v>
      </c>
      <c r="C6" s="112" t="s">
        <v>81</v>
      </c>
      <c r="D6" s="113" t="s">
        <v>56</v>
      </c>
      <c r="E6" s="113" t="s">
        <v>55</v>
      </c>
      <c r="F6" s="113" t="s">
        <v>55</v>
      </c>
      <c r="G6" s="113">
        <v>5000</v>
      </c>
      <c r="H6" s="113">
        <v>8000</v>
      </c>
      <c r="I6" s="111">
        <v>1</v>
      </c>
      <c r="J6" s="113">
        <f>G6*$I6^J$4</f>
        <v>5000</v>
      </c>
      <c r="K6" s="113">
        <f>H6*$I6^K$4</f>
        <v>8000</v>
      </c>
      <c r="M6" s="3" t="s">
        <v>135</v>
      </c>
      <c r="O6" s="1">
        <f>J29</f>
        <v>7745.2606382128515</v>
      </c>
      <c r="P6" s="1">
        <f>K29</f>
        <v>82610.302045874079</v>
      </c>
      <c r="Q6" s="76">
        <f t="shared" si="0"/>
        <v>0.13162928615921174</v>
      </c>
      <c r="R6" s="76">
        <f t="shared" si="1"/>
        <v>0.22125247076326415</v>
      </c>
    </row>
    <row r="7" spans="2:18" x14ac:dyDescent="0.3">
      <c r="M7" s="3" t="s">
        <v>74</v>
      </c>
      <c r="O7" s="1">
        <f>J39</f>
        <v>904.79124364795246</v>
      </c>
      <c r="P7" s="1">
        <f>K39</f>
        <v>10269.552108472713</v>
      </c>
      <c r="Q7" s="76">
        <f t="shared" si="0"/>
        <v>1.5376761491652778E-2</v>
      </c>
      <c r="R7" s="76">
        <f t="shared" si="1"/>
        <v>2.7504605616499603E-2</v>
      </c>
    </row>
    <row r="8" spans="2:18" x14ac:dyDescent="0.3">
      <c r="M8" s="3" t="s">
        <v>57</v>
      </c>
      <c r="O8" s="1">
        <f>J34</f>
        <v>6151.4275498666684</v>
      </c>
      <c r="P8" s="1">
        <f>K34</f>
        <v>33322.036980525743</v>
      </c>
      <c r="Q8" s="76">
        <f t="shared" si="0"/>
        <v>0.10454238470093515</v>
      </c>
      <c r="R8" s="76">
        <f t="shared" si="1"/>
        <v>8.924532207511035E-2</v>
      </c>
    </row>
    <row r="9" spans="2:18" ht="18.600000000000001" thickBot="1" x14ac:dyDescent="0.4">
      <c r="B9" s="11" t="s">
        <v>82</v>
      </c>
      <c r="D9" s="13"/>
      <c r="E9" s="13"/>
      <c r="F9" s="13"/>
      <c r="M9" s="3" t="s">
        <v>94</v>
      </c>
      <c r="O9" s="1">
        <f>J44</f>
        <v>903.92079679999983</v>
      </c>
      <c r="P9" s="1">
        <f>K44</f>
        <v>2604.3765997401592</v>
      </c>
      <c r="Q9" s="76">
        <f t="shared" si="0"/>
        <v>1.5361968406876489E-2</v>
      </c>
      <c r="R9" s="76">
        <f t="shared" si="1"/>
        <v>6.9752166887194923E-3</v>
      </c>
    </row>
    <row r="10" spans="2:18" ht="29.4" thickBot="1" x14ac:dyDescent="0.35">
      <c r="B10" s="20" t="s">
        <v>0</v>
      </c>
      <c r="C10" s="20" t="s">
        <v>5</v>
      </c>
      <c r="D10" s="97" t="s">
        <v>87</v>
      </c>
      <c r="E10" s="20" t="s">
        <v>83</v>
      </c>
      <c r="F10" s="20" t="s">
        <v>84</v>
      </c>
      <c r="G10" s="23" t="s">
        <v>75</v>
      </c>
      <c r="H10" s="23" t="s">
        <v>76</v>
      </c>
      <c r="I10" s="77" t="s">
        <v>77</v>
      </c>
      <c r="J10" s="20" t="s">
        <v>78</v>
      </c>
      <c r="K10" s="20" t="s">
        <v>79</v>
      </c>
      <c r="M10" s="3" t="s">
        <v>95</v>
      </c>
      <c r="O10" s="1">
        <f>J52</f>
        <v>5428.0233191595407</v>
      </c>
      <c r="P10" s="1">
        <f>K52</f>
        <v>34443.261960462587</v>
      </c>
      <c r="Q10" s="76">
        <f t="shared" si="0"/>
        <v>9.2248262276863391E-2</v>
      </c>
      <c r="R10" s="76">
        <f t="shared" si="1"/>
        <v>9.2248262276863405E-2</v>
      </c>
    </row>
    <row r="11" spans="2:18" x14ac:dyDescent="0.3">
      <c r="B11" s="21" t="s">
        <v>3</v>
      </c>
      <c r="C11" s="21" t="s">
        <v>13</v>
      </c>
      <c r="D11" s="22">
        <f>AVERAGE(1035, 1550)</f>
        <v>1292.5</v>
      </c>
      <c r="E11" s="82">
        <f t="shared" ref="E11:E23" si="2">$E$4</f>
        <v>5000</v>
      </c>
      <c r="F11" s="82">
        <f t="shared" ref="F11:F23" si="3">$F$4</f>
        <v>32000</v>
      </c>
      <c r="G11" s="85">
        <f t="shared" ref="G11:H18" si="4">$D11*E11/1000</f>
        <v>6462.5</v>
      </c>
      <c r="H11" s="85">
        <f t="shared" si="4"/>
        <v>41360</v>
      </c>
      <c r="I11" s="21">
        <v>0.98</v>
      </c>
      <c r="J11" s="88">
        <f>G11*$I11^J$4</f>
        <v>5841.5881493199986</v>
      </c>
      <c r="K11" s="88">
        <f>H11*$I11^K$4</f>
        <v>35905.672055084331</v>
      </c>
      <c r="M11" s="3" t="s">
        <v>137</v>
      </c>
      <c r="O11" s="1">
        <f>J60</f>
        <v>5000.9254262018521</v>
      </c>
      <c r="P11" s="1">
        <f>K60</f>
        <v>31733.132739392655</v>
      </c>
      <c r="Q11" s="76">
        <f t="shared" si="0"/>
        <v>8.4989811800354198E-2</v>
      </c>
      <c r="R11" s="76">
        <f t="shared" si="1"/>
        <v>8.4989811800354212E-2</v>
      </c>
    </row>
    <row r="12" spans="2:18" ht="15" thickBot="1" x14ac:dyDescent="0.35">
      <c r="B12" s="3" t="s">
        <v>4</v>
      </c>
      <c r="C12" s="3" t="s">
        <v>6</v>
      </c>
      <c r="D12" s="18">
        <f>50000/300</f>
        <v>166.66666666666666</v>
      </c>
      <c r="E12" s="83">
        <f t="shared" si="2"/>
        <v>5000</v>
      </c>
      <c r="F12" s="83">
        <f t="shared" si="3"/>
        <v>32000</v>
      </c>
      <c r="G12" s="86">
        <f t="shared" si="4"/>
        <v>833.33333333333326</v>
      </c>
      <c r="H12" s="86">
        <f t="shared" si="4"/>
        <v>5333.333333333333</v>
      </c>
      <c r="I12" s="3">
        <v>1</v>
      </c>
      <c r="J12" s="18">
        <f>Construction_Breakdown!$G12*I12^$J$9</f>
        <v>833.33333333333326</v>
      </c>
      <c r="K12" s="18">
        <f>Construction_Breakdown!$H12*I12^$K$9</f>
        <v>5333.333333333333</v>
      </c>
      <c r="M12" s="124" t="s">
        <v>100</v>
      </c>
      <c r="N12" s="125"/>
      <c r="O12" s="126">
        <f>J67</f>
        <v>3651.550207952811</v>
      </c>
      <c r="P12" s="126">
        <f>K67</f>
        <v>23170.736929290561</v>
      </c>
      <c r="Q12" s="127">
        <f t="shared" si="0"/>
        <v>6.2057427076883435E-2</v>
      </c>
      <c r="R12" s="127">
        <f t="shared" si="1"/>
        <v>6.2057427076883435E-2</v>
      </c>
    </row>
    <row r="13" spans="2:18" x14ac:dyDescent="0.3">
      <c r="B13" s="2" t="s">
        <v>11</v>
      </c>
      <c r="C13" s="2" t="s">
        <v>8</v>
      </c>
      <c r="D13" s="19">
        <f>1.5*8*30</f>
        <v>360</v>
      </c>
      <c r="E13" s="84">
        <f t="shared" si="2"/>
        <v>5000</v>
      </c>
      <c r="F13" s="84">
        <f t="shared" si="3"/>
        <v>32000</v>
      </c>
      <c r="G13" s="87">
        <f t="shared" si="4"/>
        <v>1800</v>
      </c>
      <c r="H13" s="87">
        <f t="shared" si="4"/>
        <v>11520</v>
      </c>
      <c r="I13" s="2">
        <v>1</v>
      </c>
      <c r="J13" s="89">
        <f t="shared" ref="J13:K18" si="5">G13*$I13^J$4</f>
        <v>1800</v>
      </c>
      <c r="K13" s="89">
        <f t="shared" si="5"/>
        <v>11520</v>
      </c>
      <c r="M13" s="7" t="s">
        <v>2</v>
      </c>
      <c r="O13" s="75">
        <f>SUM(O4:O12)</f>
        <v>58841.469586370004</v>
      </c>
      <c r="P13" s="75">
        <f>SUM(P4:P12)</f>
        <v>373375.72665692621</v>
      </c>
      <c r="Q13" s="123">
        <f>SUM(Q4:Q12)</f>
        <v>1.0000000000000002</v>
      </c>
      <c r="R13" s="123">
        <f>SUM(R4:R12)</f>
        <v>1</v>
      </c>
    </row>
    <row r="14" spans="2:18" x14ac:dyDescent="0.3">
      <c r="B14" s="3" t="s">
        <v>9</v>
      </c>
      <c r="C14" s="3" t="s">
        <v>31</v>
      </c>
      <c r="D14" s="18">
        <v>500</v>
      </c>
      <c r="E14" s="83">
        <f t="shared" si="2"/>
        <v>5000</v>
      </c>
      <c r="F14" s="83">
        <f t="shared" si="3"/>
        <v>32000</v>
      </c>
      <c r="G14" s="86">
        <f t="shared" si="4"/>
        <v>2500</v>
      </c>
      <c r="H14" s="86">
        <f t="shared" si="4"/>
        <v>16000</v>
      </c>
      <c r="I14" s="3">
        <v>1</v>
      </c>
      <c r="J14" s="90">
        <f t="shared" si="5"/>
        <v>2500</v>
      </c>
      <c r="K14" s="90">
        <f t="shared" si="5"/>
        <v>16000</v>
      </c>
    </row>
    <row r="15" spans="2:18" x14ac:dyDescent="0.3">
      <c r="B15" s="2" t="s">
        <v>10</v>
      </c>
      <c r="C15" s="2" t="s">
        <v>12</v>
      </c>
      <c r="D15" s="19">
        <v>60</v>
      </c>
      <c r="E15" s="84">
        <f t="shared" si="2"/>
        <v>5000</v>
      </c>
      <c r="F15" s="84">
        <f t="shared" si="3"/>
        <v>32000</v>
      </c>
      <c r="G15" s="87">
        <f t="shared" si="4"/>
        <v>300</v>
      </c>
      <c r="H15" s="87">
        <f t="shared" si="4"/>
        <v>1920</v>
      </c>
      <c r="I15" s="2">
        <v>1</v>
      </c>
      <c r="J15" s="89">
        <f t="shared" si="5"/>
        <v>300</v>
      </c>
      <c r="K15" s="89">
        <f t="shared" si="5"/>
        <v>1920</v>
      </c>
    </row>
    <row r="16" spans="2:18" x14ac:dyDescent="0.3">
      <c r="B16" s="45" t="s">
        <v>85</v>
      </c>
      <c r="C16" s="94" t="s">
        <v>14</v>
      </c>
      <c r="D16" s="95">
        <v>253</v>
      </c>
      <c r="E16" s="83">
        <f t="shared" si="2"/>
        <v>5000</v>
      </c>
      <c r="F16" s="83">
        <f t="shared" si="3"/>
        <v>32000</v>
      </c>
      <c r="G16" s="96">
        <f t="shared" si="4"/>
        <v>1265</v>
      </c>
      <c r="H16" s="96">
        <f t="shared" si="4"/>
        <v>8096</v>
      </c>
      <c r="I16" s="45">
        <v>1</v>
      </c>
      <c r="J16" s="90">
        <f t="shared" si="5"/>
        <v>1265</v>
      </c>
      <c r="K16" s="90">
        <f t="shared" si="5"/>
        <v>8096</v>
      </c>
      <c r="M16" s="3"/>
      <c r="O16" s="1"/>
      <c r="P16" s="1"/>
    </row>
    <row r="17" spans="2:17" x14ac:dyDescent="0.3">
      <c r="B17" s="91" t="s">
        <v>15</v>
      </c>
      <c r="C17" s="92" t="s">
        <v>23</v>
      </c>
      <c r="D17" s="93">
        <v>35</v>
      </c>
      <c r="E17" s="84">
        <f t="shared" si="2"/>
        <v>5000</v>
      </c>
      <c r="F17" s="84">
        <f t="shared" si="3"/>
        <v>32000</v>
      </c>
      <c r="G17" s="87">
        <f t="shared" si="4"/>
        <v>175</v>
      </c>
      <c r="H17" s="87">
        <f t="shared" si="4"/>
        <v>1120</v>
      </c>
      <c r="I17" s="2">
        <v>1</v>
      </c>
      <c r="J17" s="89">
        <f t="shared" si="5"/>
        <v>175</v>
      </c>
      <c r="K17" s="89">
        <f t="shared" si="5"/>
        <v>1120</v>
      </c>
      <c r="M17" s="3"/>
      <c r="O17" s="1"/>
      <c r="P17" s="1"/>
    </row>
    <row r="18" spans="2:17" x14ac:dyDescent="0.3">
      <c r="B18" s="3" t="s">
        <v>21</v>
      </c>
      <c r="C18" s="3" t="s">
        <v>22</v>
      </c>
      <c r="D18" s="4">
        <v>100</v>
      </c>
      <c r="E18" s="83">
        <f t="shared" si="2"/>
        <v>5000</v>
      </c>
      <c r="F18" s="83">
        <f t="shared" si="3"/>
        <v>32000</v>
      </c>
      <c r="G18" s="96">
        <f t="shared" si="4"/>
        <v>500</v>
      </c>
      <c r="H18" s="96">
        <f t="shared" si="4"/>
        <v>3200</v>
      </c>
      <c r="I18" s="45">
        <v>1</v>
      </c>
      <c r="J18" s="90">
        <f t="shared" si="5"/>
        <v>500</v>
      </c>
      <c r="K18" s="90">
        <f t="shared" si="5"/>
        <v>3200</v>
      </c>
      <c r="M18" s="3"/>
      <c r="O18" s="1"/>
      <c r="P18" s="1"/>
    </row>
    <row r="19" spans="2:17" x14ac:dyDescent="0.3">
      <c r="B19" s="2" t="s">
        <v>16</v>
      </c>
      <c r="C19" s="2" t="s">
        <v>86</v>
      </c>
      <c r="D19" s="5">
        <v>250</v>
      </c>
      <c r="E19" s="84">
        <f t="shared" si="2"/>
        <v>5000</v>
      </c>
      <c r="F19" s="84">
        <f t="shared" si="3"/>
        <v>32000</v>
      </c>
      <c r="G19" s="87">
        <f t="shared" ref="G19:G23" si="6">$D19*E19/1000</f>
        <v>1250</v>
      </c>
      <c r="H19" s="87">
        <f t="shared" ref="H19:H23" si="7">$D19*F19/1000</f>
        <v>8000</v>
      </c>
      <c r="I19" s="2">
        <v>0.95</v>
      </c>
      <c r="J19" s="89">
        <f t="shared" ref="J19:J22" si="8">G19*$I19^J$4</f>
        <v>967.22617187499998</v>
      </c>
      <c r="K19" s="89">
        <f t="shared" ref="K19:K23" si="9">H19*$I19^K$4</f>
        <v>5586.6983687499996</v>
      </c>
      <c r="M19" s="3"/>
      <c r="O19" s="1"/>
      <c r="P19" s="1"/>
    </row>
    <row r="20" spans="2:17" x14ac:dyDescent="0.3">
      <c r="B20" s="3" t="s">
        <v>24</v>
      </c>
      <c r="C20" s="3" t="s">
        <v>28</v>
      </c>
      <c r="D20" s="4">
        <v>1295</v>
      </c>
      <c r="E20" s="83">
        <f t="shared" si="2"/>
        <v>5000</v>
      </c>
      <c r="F20" s="83">
        <f t="shared" si="3"/>
        <v>32000</v>
      </c>
      <c r="G20" s="96">
        <f t="shared" si="6"/>
        <v>6475</v>
      </c>
      <c r="H20" s="96">
        <f t="shared" si="7"/>
        <v>41440</v>
      </c>
      <c r="I20" s="45">
        <v>0.9</v>
      </c>
      <c r="J20" s="90">
        <f t="shared" si="8"/>
        <v>3823.4227500000011</v>
      </c>
      <c r="K20" s="90">
        <f t="shared" si="9"/>
        <v>19820.623536000006</v>
      </c>
      <c r="M20" s="3"/>
      <c r="O20" s="1"/>
      <c r="P20" s="1"/>
    </row>
    <row r="21" spans="2:17" x14ac:dyDescent="0.3">
      <c r="B21" s="2" t="s">
        <v>17</v>
      </c>
      <c r="C21" s="2" t="s">
        <v>25</v>
      </c>
      <c r="D21" s="5">
        <v>850</v>
      </c>
      <c r="E21" s="84">
        <f t="shared" si="2"/>
        <v>5000</v>
      </c>
      <c r="F21" s="84">
        <f t="shared" si="3"/>
        <v>32000</v>
      </c>
      <c r="G21" s="87">
        <f t="shared" si="6"/>
        <v>4250</v>
      </c>
      <c r="H21" s="87">
        <f t="shared" si="7"/>
        <v>27200</v>
      </c>
      <c r="I21" s="2">
        <v>1</v>
      </c>
      <c r="J21" s="89">
        <f t="shared" si="8"/>
        <v>4250</v>
      </c>
      <c r="K21" s="89">
        <f t="shared" si="9"/>
        <v>27200</v>
      </c>
      <c r="M21" s="3"/>
      <c r="O21" s="1"/>
      <c r="P21" s="1"/>
    </row>
    <row r="22" spans="2:17" x14ac:dyDescent="0.3">
      <c r="B22" s="3" t="s">
        <v>18</v>
      </c>
      <c r="C22" s="3" t="s">
        <v>26</v>
      </c>
      <c r="D22" s="4">
        <v>120</v>
      </c>
      <c r="E22" s="83">
        <f t="shared" si="2"/>
        <v>5000</v>
      </c>
      <c r="F22" s="83">
        <f t="shared" si="3"/>
        <v>32000</v>
      </c>
      <c r="G22" s="96">
        <f t="shared" si="6"/>
        <v>600</v>
      </c>
      <c r="H22" s="96">
        <f t="shared" si="7"/>
        <v>3840</v>
      </c>
      <c r="I22" s="45">
        <v>1</v>
      </c>
      <c r="J22" s="90">
        <f t="shared" si="8"/>
        <v>600</v>
      </c>
      <c r="K22" s="90">
        <f t="shared" si="9"/>
        <v>3840</v>
      </c>
      <c r="M22" s="3"/>
      <c r="O22" s="1"/>
      <c r="P22" s="1"/>
    </row>
    <row r="23" spans="2:17" x14ac:dyDescent="0.3">
      <c r="B23" s="2" t="s">
        <v>29</v>
      </c>
      <c r="C23" s="2" t="s">
        <v>27</v>
      </c>
      <c r="D23" s="5">
        <f>8*30</f>
        <v>240</v>
      </c>
      <c r="E23" s="84">
        <f t="shared" si="2"/>
        <v>5000</v>
      </c>
      <c r="F23" s="84">
        <f t="shared" si="3"/>
        <v>32000</v>
      </c>
      <c r="G23" s="87">
        <f t="shared" si="6"/>
        <v>1200</v>
      </c>
      <c r="H23" s="87">
        <f t="shared" si="7"/>
        <v>7680</v>
      </c>
      <c r="I23" s="2">
        <v>1</v>
      </c>
      <c r="J23" s="89">
        <f>G23*$I23^J$4</f>
        <v>1200</v>
      </c>
      <c r="K23" s="89">
        <f t="shared" si="9"/>
        <v>7680</v>
      </c>
      <c r="M23" s="3"/>
      <c r="O23" s="1"/>
      <c r="P23" s="1"/>
    </row>
    <row r="24" spans="2:17" ht="15" thickBot="1" x14ac:dyDescent="0.35">
      <c r="B24" s="10" t="s">
        <v>2</v>
      </c>
      <c r="C24" s="10"/>
      <c r="D24" s="39">
        <f>SUM(D11:D23)</f>
        <v>5522.166666666667</v>
      </c>
      <c r="E24" s="39"/>
      <c r="F24" s="39"/>
      <c r="G24" s="39">
        <f>SUM(G11:G23)</f>
        <v>27610.833333333332</v>
      </c>
      <c r="H24" s="39">
        <f>SUM(H11:H23)</f>
        <v>176709.33333333334</v>
      </c>
      <c r="I24" s="10"/>
      <c r="J24" s="39">
        <f>SUM(J11:J23)</f>
        <v>24055.570404528331</v>
      </c>
      <c r="K24" s="39">
        <f>SUM(K11:K23)</f>
        <v>147222.32729316768</v>
      </c>
      <c r="L24" s="73"/>
      <c r="M24" s="3"/>
      <c r="O24" s="1"/>
      <c r="P24" s="1"/>
    </row>
    <row r="25" spans="2:17" x14ac:dyDescent="0.3">
      <c r="N25" s="12"/>
      <c r="P25" s="1"/>
    </row>
    <row r="27" spans="2:17" ht="18.600000000000001" thickBot="1" x14ac:dyDescent="0.4">
      <c r="B27" s="11" t="s">
        <v>135</v>
      </c>
      <c r="C27" s="98"/>
      <c r="D27" s="99"/>
      <c r="E27" s="99"/>
      <c r="F27" s="99"/>
      <c r="G27" s="164"/>
      <c r="H27" s="165"/>
      <c r="I27" s="98"/>
      <c r="J27" s="98"/>
      <c r="K27" s="98"/>
    </row>
    <row r="28" spans="2:17" ht="29.4" thickBot="1" x14ac:dyDescent="0.35">
      <c r="B28" s="20" t="s">
        <v>1</v>
      </c>
      <c r="C28" s="20" t="s">
        <v>5</v>
      </c>
      <c r="D28" s="97" t="s">
        <v>87</v>
      </c>
      <c r="E28" s="20" t="s">
        <v>83</v>
      </c>
      <c r="F28" s="20" t="s">
        <v>84</v>
      </c>
      <c r="G28" s="23" t="s">
        <v>75</v>
      </c>
      <c r="H28" s="23" t="s">
        <v>76</v>
      </c>
      <c r="I28" s="77" t="s">
        <v>77</v>
      </c>
      <c r="J28" s="20" t="s">
        <v>78</v>
      </c>
      <c r="K28" s="20" t="s">
        <v>79</v>
      </c>
      <c r="L28" s="73"/>
      <c r="Q28" s="74"/>
    </row>
    <row r="29" spans="2:17" ht="87" thickBot="1" x14ac:dyDescent="0.35">
      <c r="B29" s="102" t="s">
        <v>102</v>
      </c>
      <c r="C29" s="121" t="s">
        <v>138</v>
      </c>
      <c r="D29" s="103">
        <v>2.9100000000000001E-9</v>
      </c>
      <c r="E29" s="103">
        <f>2*E$3*(E$1*E$4*IMLOG2(E$1*E$4) + E$2*E$4^2)</f>
        <v>3439735285398624.5</v>
      </c>
      <c r="F29" s="103">
        <f>2*F$3*(F$1*F$4*IMLOG2(F$1*F$4) + F$2*F$4^2)</f>
        <v>4.0651444661241024E+16</v>
      </c>
      <c r="G29" s="104">
        <f>$D29*E29/1000</f>
        <v>10009.629680509997</v>
      </c>
      <c r="H29" s="104">
        <f>$D29*F29/1000</f>
        <v>118295.7039642114</v>
      </c>
      <c r="I29" s="105">
        <v>0.95</v>
      </c>
      <c r="J29" s="106">
        <f>G29*$I29^J$4</f>
        <v>7745.2606382128515</v>
      </c>
      <c r="K29" s="106">
        <f>H29*$I29^K$4</f>
        <v>82610.302045874079</v>
      </c>
    </row>
    <row r="30" spans="2:17" x14ac:dyDescent="0.3">
      <c r="E30" s="163"/>
      <c r="F30" s="163"/>
    </row>
    <row r="32" spans="2:17" ht="18.600000000000001" thickBot="1" x14ac:dyDescent="0.4">
      <c r="B32" s="11" t="s">
        <v>57</v>
      </c>
      <c r="C32" s="98"/>
      <c r="D32" s="99"/>
      <c r="E32" s="99"/>
      <c r="F32" s="99"/>
      <c r="G32" s="100"/>
      <c r="H32" s="100"/>
    </row>
    <row r="33" spans="2:21" ht="29.4" thickBot="1" x14ac:dyDescent="0.35">
      <c r="B33" s="36" t="s">
        <v>0</v>
      </c>
      <c r="C33" s="36" t="s">
        <v>5</v>
      </c>
      <c r="D33" s="107" t="s">
        <v>87</v>
      </c>
      <c r="E33" s="108" t="s">
        <v>83</v>
      </c>
      <c r="F33" s="108" t="s">
        <v>84</v>
      </c>
      <c r="G33" s="38" t="s">
        <v>75</v>
      </c>
      <c r="H33" s="38" t="s">
        <v>76</v>
      </c>
      <c r="I33" s="38" t="s">
        <v>77</v>
      </c>
      <c r="J33" s="101" t="s">
        <v>78</v>
      </c>
      <c r="K33" s="101" t="s">
        <v>79</v>
      </c>
      <c r="O33" s="1"/>
      <c r="P33" s="1"/>
    </row>
    <row r="34" spans="2:21" ht="43.8" thickBot="1" x14ac:dyDescent="0.35">
      <c r="B34" s="114" t="s">
        <v>88</v>
      </c>
      <c r="C34" s="114" t="s">
        <v>72</v>
      </c>
      <c r="D34" s="115">
        <v>11200</v>
      </c>
      <c r="E34" s="116">
        <f>$E$4/6</f>
        <v>833.33333333333337</v>
      </c>
      <c r="F34" s="116">
        <f>$F$4/6</f>
        <v>5333.333333333333</v>
      </c>
      <c r="G34" s="117">
        <f>$D34*E34/1000</f>
        <v>9333.3333333333339</v>
      </c>
      <c r="H34" s="117">
        <f>$D34*F34/1000</f>
        <v>59733.333333333328</v>
      </c>
      <c r="I34" s="118">
        <v>0.92</v>
      </c>
      <c r="J34" s="106">
        <f>G34*$I34^J$4</f>
        <v>6151.4275498666684</v>
      </c>
      <c r="K34" s="106">
        <f>H34*$I34^K$4</f>
        <v>33322.036980525743</v>
      </c>
      <c r="O34" s="1"/>
      <c r="P34" s="1"/>
    </row>
    <row r="35" spans="2:21" x14ac:dyDescent="0.3">
      <c r="O35" s="1"/>
      <c r="P35" s="1"/>
    </row>
    <row r="36" spans="2:21" x14ac:dyDescent="0.3">
      <c r="O36" s="80"/>
      <c r="P36" s="80"/>
    </row>
    <row r="37" spans="2:21" ht="18.600000000000001" thickBot="1" x14ac:dyDescent="0.4">
      <c r="B37" s="11" t="s">
        <v>74</v>
      </c>
      <c r="D37" s="13"/>
      <c r="E37" s="109"/>
      <c r="F37" s="109"/>
      <c r="G37" s="110"/>
      <c r="H37" s="110"/>
    </row>
    <row r="38" spans="2:21" ht="29.4" thickBot="1" x14ac:dyDescent="0.35">
      <c r="B38" s="20" t="s">
        <v>1</v>
      </c>
      <c r="C38" s="20" t="s">
        <v>5</v>
      </c>
      <c r="D38" s="107" t="s">
        <v>87</v>
      </c>
      <c r="E38" s="20"/>
      <c r="F38" s="20"/>
      <c r="G38" s="23" t="s">
        <v>75</v>
      </c>
      <c r="H38" s="23" t="s">
        <v>76</v>
      </c>
      <c r="I38" s="77" t="s">
        <v>77</v>
      </c>
      <c r="J38" s="20" t="s">
        <v>78</v>
      </c>
      <c r="K38" s="20" t="s">
        <v>79</v>
      </c>
      <c r="O38" s="81"/>
      <c r="P38" s="81"/>
    </row>
    <row r="39" spans="2:21" ht="15" thickBot="1" x14ac:dyDescent="0.35">
      <c r="B39" s="111" t="s">
        <v>2</v>
      </c>
      <c r="C39" s="119" t="s">
        <v>73</v>
      </c>
      <c r="D39" s="120" t="s">
        <v>1</v>
      </c>
      <c r="E39" s="120"/>
      <c r="F39" s="120"/>
      <c r="G39" s="120">
        <f>0.1*G29</f>
        <v>1000.9629680509997</v>
      </c>
      <c r="H39" s="120">
        <f>0.1*H29</f>
        <v>11829.570396421141</v>
      </c>
      <c r="I39" s="119">
        <v>0.98</v>
      </c>
      <c r="J39" s="106">
        <f>G39*$I39^J$4</f>
        <v>904.79124364795246</v>
      </c>
      <c r="K39" s="106">
        <f>H39*$I39^K$4</f>
        <v>10269.552108472713</v>
      </c>
      <c r="L39" s="73"/>
    </row>
    <row r="41" spans="2:21" x14ac:dyDescent="0.3">
      <c r="B41" s="3"/>
      <c r="C41" s="3"/>
      <c r="D41" s="4"/>
      <c r="E41" s="4"/>
      <c r="F41" s="4"/>
      <c r="G41" s="4"/>
      <c r="H41" s="4"/>
      <c r="I41" s="3"/>
      <c r="J41" s="24"/>
      <c r="K41" s="24"/>
      <c r="L41" s="73"/>
    </row>
    <row r="42" spans="2:21" ht="18.600000000000001" thickBot="1" x14ac:dyDescent="0.4">
      <c r="B42" s="11" t="s">
        <v>90</v>
      </c>
      <c r="D42" s="13"/>
      <c r="E42" s="99"/>
      <c r="F42" s="99"/>
      <c r="G42" s="100"/>
      <c r="H42" s="100"/>
    </row>
    <row r="43" spans="2:21" ht="29.4" thickBot="1" x14ac:dyDescent="0.35">
      <c r="B43" s="20" t="s">
        <v>1</v>
      </c>
      <c r="C43" s="20" t="s">
        <v>5</v>
      </c>
      <c r="D43" s="107" t="s">
        <v>87</v>
      </c>
      <c r="E43" s="108" t="s">
        <v>83</v>
      </c>
      <c r="F43" s="108" t="s">
        <v>84</v>
      </c>
      <c r="G43" s="23" t="s">
        <v>75</v>
      </c>
      <c r="H43" s="23" t="s">
        <v>76</v>
      </c>
      <c r="I43" s="77" t="s">
        <v>77</v>
      </c>
      <c r="J43" s="20" t="s">
        <v>78</v>
      </c>
      <c r="K43" s="20" t="s">
        <v>79</v>
      </c>
    </row>
    <row r="44" spans="2:21" ht="43.8" thickBot="1" x14ac:dyDescent="0.35">
      <c r="B44" s="121" t="s">
        <v>91</v>
      </c>
      <c r="C44" s="105" t="s">
        <v>92</v>
      </c>
      <c r="D44" s="122" t="s">
        <v>55</v>
      </c>
      <c r="E44" s="122" t="s">
        <v>1</v>
      </c>
      <c r="F44" s="122" t="s">
        <v>1</v>
      </c>
      <c r="G44" s="104">
        <v>1000</v>
      </c>
      <c r="H44" s="104">
        <v>3000</v>
      </c>
      <c r="I44" s="105">
        <v>0.98</v>
      </c>
      <c r="J44" s="106">
        <f>G44*$I44^J$4</f>
        <v>903.92079679999983</v>
      </c>
      <c r="K44" s="106">
        <f>H44*$I44^K$4</f>
        <v>2604.3765997401592</v>
      </c>
      <c r="Q44" s="79"/>
      <c r="T44" s="78"/>
    </row>
    <row r="45" spans="2:21" x14ac:dyDescent="0.3">
      <c r="L45" s="73"/>
    </row>
    <row r="46" spans="2:21" ht="15" thickBot="1" x14ac:dyDescent="0.35">
      <c r="R46" s="78"/>
      <c r="S46" s="78"/>
      <c r="T46" s="78"/>
      <c r="U46" s="78"/>
    </row>
    <row r="47" spans="2:21" ht="18.600000000000001" thickBot="1" x14ac:dyDescent="0.4">
      <c r="B47" s="25" t="s">
        <v>103</v>
      </c>
      <c r="C47" s="26"/>
      <c r="D47" s="26"/>
      <c r="E47" s="26"/>
      <c r="F47" s="26"/>
      <c r="G47" s="27">
        <f>G6+G24+G29+G34+G39+G44</f>
        <v>53954.75931522766</v>
      </c>
      <c r="H47" s="27">
        <f>H6+H24+H29+H34+H39+H44</f>
        <v>377567.94102729921</v>
      </c>
      <c r="I47" s="26"/>
      <c r="J47" s="27">
        <f>J6+J24+J29+J34+J39+J44</f>
        <v>44760.970633055804</v>
      </c>
      <c r="K47" s="27">
        <f>K6+K24+K29+K34+K39+K44</f>
        <v>284028.59502778045</v>
      </c>
      <c r="R47" s="78"/>
      <c r="S47" s="78"/>
      <c r="T47" s="78"/>
      <c r="U47" s="78"/>
    </row>
    <row r="49" spans="2:18" x14ac:dyDescent="0.3">
      <c r="R49" s="73"/>
    </row>
    <row r="50" spans="2:18" ht="18.600000000000001" thickBot="1" x14ac:dyDescent="0.4">
      <c r="B50" s="11" t="s">
        <v>35</v>
      </c>
      <c r="C50" s="7"/>
      <c r="D50" s="7"/>
      <c r="E50" s="7"/>
      <c r="F50" s="7"/>
      <c r="G50" s="7"/>
      <c r="H50" s="7"/>
      <c r="R50" s="73"/>
    </row>
    <row r="51" spans="2:18" ht="15" thickBot="1" x14ac:dyDescent="0.35">
      <c r="B51" s="20" t="s">
        <v>1</v>
      </c>
      <c r="C51" s="20" t="s">
        <v>5</v>
      </c>
      <c r="D51" s="20" t="s">
        <v>32</v>
      </c>
      <c r="E51" s="20"/>
      <c r="F51" s="20"/>
      <c r="G51" s="20" t="s">
        <v>53</v>
      </c>
      <c r="H51" s="20" t="s">
        <v>53</v>
      </c>
      <c r="I51" s="20" t="s">
        <v>53</v>
      </c>
      <c r="J51" s="36" t="s">
        <v>19</v>
      </c>
      <c r="K51" s="36" t="s">
        <v>20</v>
      </c>
      <c r="R51" s="73"/>
    </row>
    <row r="52" spans="2:18" x14ac:dyDescent="0.3">
      <c r="B52" s="49" t="s">
        <v>36</v>
      </c>
      <c r="C52" s="49" t="s">
        <v>37</v>
      </c>
      <c r="D52" s="50">
        <f>AVERAGE(D53:D56)</f>
        <v>0.12126688144584083</v>
      </c>
      <c r="E52" s="50"/>
      <c r="F52" s="50"/>
      <c r="G52" s="50"/>
      <c r="H52" s="50"/>
      <c r="I52" s="50"/>
      <c r="J52" s="51">
        <f>D52*J47</f>
        <v>5428.0233191595407</v>
      </c>
      <c r="K52" s="51">
        <f>D52*K47</f>
        <v>34443.261960462587</v>
      </c>
      <c r="L52" s="73"/>
      <c r="R52" s="73"/>
    </row>
    <row r="53" spans="2:18" x14ac:dyDescent="0.3">
      <c r="B53" s="35"/>
      <c r="C53" s="2" t="s">
        <v>44</v>
      </c>
      <c r="D53" s="15">
        <f>12.98/158.57</f>
        <v>8.1856593302642375E-2</v>
      </c>
      <c r="E53" s="15"/>
      <c r="F53" s="15"/>
      <c r="G53" s="35"/>
      <c r="H53" s="35"/>
      <c r="I53" s="2"/>
      <c r="J53" s="2"/>
      <c r="K53" s="2"/>
    </row>
    <row r="54" spans="2:18" x14ac:dyDescent="0.3">
      <c r="B54" s="7"/>
      <c r="C54" s="3" t="s">
        <v>39</v>
      </c>
      <c r="D54" s="17">
        <f>10/42</f>
        <v>0.23809523809523808</v>
      </c>
      <c r="E54" s="17"/>
      <c r="F54" s="17"/>
      <c r="G54" s="7"/>
      <c r="H54" s="7"/>
      <c r="I54" s="3"/>
      <c r="J54" s="3"/>
      <c r="K54" s="3"/>
    </row>
    <row r="55" spans="2:18" x14ac:dyDescent="0.3">
      <c r="B55" s="35"/>
      <c r="C55" s="2" t="s">
        <v>40</v>
      </c>
      <c r="D55" s="15">
        <f>59.1/506.934</f>
        <v>0.11658322385162566</v>
      </c>
      <c r="E55" s="15"/>
      <c r="F55" s="15"/>
      <c r="G55" s="35"/>
      <c r="H55" s="35"/>
      <c r="I55" s="2"/>
      <c r="J55" s="2"/>
      <c r="K55" s="2"/>
    </row>
    <row r="56" spans="2:18" ht="15" thickBot="1" x14ac:dyDescent="0.35">
      <c r="B56" s="10"/>
      <c r="C56" s="8" t="s">
        <v>41</v>
      </c>
      <c r="D56" s="16">
        <f>21/432.7</f>
        <v>4.8532470533857175E-2</v>
      </c>
      <c r="E56" s="16"/>
      <c r="F56" s="16"/>
      <c r="G56" s="10"/>
      <c r="H56" s="10"/>
      <c r="I56" s="8"/>
      <c r="J56" s="8"/>
      <c r="K56" s="8"/>
    </row>
    <row r="57" spans="2:18" x14ac:dyDescent="0.3">
      <c r="B57" s="7"/>
      <c r="C57" s="3"/>
      <c r="D57" s="17"/>
      <c r="E57" s="17"/>
      <c r="F57" s="17"/>
      <c r="G57" s="7"/>
      <c r="H57" s="7"/>
    </row>
    <row r="58" spans="2:18" ht="18.600000000000001" thickBot="1" x14ac:dyDescent="0.4">
      <c r="B58" s="11" t="s">
        <v>30</v>
      </c>
      <c r="L58" s="73"/>
    </row>
    <row r="59" spans="2:18" ht="15" thickBot="1" x14ac:dyDescent="0.35">
      <c r="B59" s="20" t="s">
        <v>1</v>
      </c>
      <c r="C59" s="20" t="s">
        <v>5</v>
      </c>
      <c r="D59" s="20" t="s">
        <v>32</v>
      </c>
      <c r="E59" s="20"/>
      <c r="F59" s="20"/>
      <c r="G59" s="20" t="s">
        <v>53</v>
      </c>
      <c r="H59" s="20" t="s">
        <v>53</v>
      </c>
      <c r="I59" s="20" t="s">
        <v>53</v>
      </c>
      <c r="J59" s="36" t="s">
        <v>19</v>
      </c>
      <c r="K59" s="36" t="s">
        <v>20</v>
      </c>
    </row>
    <row r="60" spans="2:18" s="11" customFormat="1" ht="18" x14ac:dyDescent="0.35">
      <c r="B60" s="52" t="s">
        <v>7</v>
      </c>
      <c r="C60" s="52" t="s">
        <v>34</v>
      </c>
      <c r="D60" s="53">
        <f>AVERAGE(D61:D63)</f>
        <v>0.111725133648212</v>
      </c>
      <c r="E60" s="53"/>
      <c r="F60" s="53"/>
      <c r="G60" s="50"/>
      <c r="H60" s="50"/>
      <c r="I60" s="50"/>
      <c r="J60" s="51">
        <f>D60*J47</f>
        <v>5000.9254262018521</v>
      </c>
      <c r="K60" s="51">
        <f>D60*K47</f>
        <v>31733.132739392655</v>
      </c>
      <c r="L60"/>
      <c r="M60"/>
    </row>
    <row r="61" spans="2:18" x14ac:dyDescent="0.3">
      <c r="B61" s="2"/>
      <c r="C61" s="2" t="s">
        <v>45</v>
      </c>
      <c r="D61" s="15">
        <f>15.927/158.67</f>
        <v>0.10037814331631689</v>
      </c>
      <c r="E61" s="15"/>
      <c r="F61" s="15"/>
      <c r="G61" s="2"/>
      <c r="H61" s="2"/>
      <c r="I61" s="2"/>
      <c r="J61" s="5"/>
      <c r="K61" s="5"/>
    </row>
    <row r="62" spans="2:18" x14ac:dyDescent="0.3">
      <c r="B62" s="41"/>
      <c r="C62" s="42" t="s">
        <v>42</v>
      </c>
      <c r="D62" s="40">
        <f>31.52/506.93</f>
        <v>6.2178210009271498E-2</v>
      </c>
      <c r="E62" s="40"/>
      <c r="F62" s="40"/>
      <c r="G62" s="3"/>
      <c r="H62" s="3"/>
      <c r="I62" s="3"/>
      <c r="J62" s="4"/>
      <c r="K62" s="4"/>
      <c r="L62" s="73"/>
    </row>
    <row r="63" spans="2:18" ht="15" thickBot="1" x14ac:dyDescent="0.35">
      <c r="B63" s="43"/>
      <c r="C63" s="43" t="s">
        <v>43</v>
      </c>
      <c r="D63" s="44">
        <f>29/168</f>
        <v>0.17261904761904762</v>
      </c>
      <c r="E63" s="44"/>
      <c r="F63" s="44"/>
      <c r="G63" s="6"/>
      <c r="H63" s="6"/>
      <c r="I63" s="6"/>
      <c r="J63" s="37"/>
      <c r="K63" s="37"/>
    </row>
    <row r="64" spans="2:18" x14ac:dyDescent="0.3">
      <c r="B64" s="28"/>
      <c r="C64" s="28"/>
      <c r="D64" s="29"/>
      <c r="E64" s="29"/>
      <c r="F64" s="29"/>
      <c r="J64" s="1"/>
      <c r="K64" s="1"/>
      <c r="L64" s="73"/>
    </row>
    <row r="65" spans="2:12" ht="18.600000000000001" thickBot="1" x14ac:dyDescent="0.4">
      <c r="B65" s="11" t="s">
        <v>33</v>
      </c>
      <c r="J65" s="1"/>
      <c r="K65" s="1"/>
    </row>
    <row r="66" spans="2:12" ht="15" thickBot="1" x14ac:dyDescent="0.35">
      <c r="B66" s="20" t="s">
        <v>1</v>
      </c>
      <c r="C66" s="20" t="s">
        <v>5</v>
      </c>
      <c r="D66" s="20" t="s">
        <v>32</v>
      </c>
      <c r="E66" s="20"/>
      <c r="F66" s="20"/>
      <c r="G66" s="20" t="s">
        <v>53</v>
      </c>
      <c r="H66" s="20" t="s">
        <v>53</v>
      </c>
      <c r="I66" s="20" t="s">
        <v>53</v>
      </c>
      <c r="J66" s="36" t="s">
        <v>19</v>
      </c>
      <c r="K66" s="36" t="s">
        <v>20</v>
      </c>
    </row>
    <row r="67" spans="2:12" x14ac:dyDescent="0.3">
      <c r="B67" s="54" t="s">
        <v>7</v>
      </c>
      <c r="C67" s="54" t="s">
        <v>38</v>
      </c>
      <c r="D67" s="55">
        <f>AVERAGE(D68:D71)</f>
        <v>8.1578887953250842E-2</v>
      </c>
      <c r="E67" s="55"/>
      <c r="F67" s="55"/>
      <c r="G67" s="50"/>
      <c r="H67" s="50"/>
      <c r="I67" s="50"/>
      <c r="J67" s="51">
        <f>D67*J47</f>
        <v>3651.550207952811</v>
      </c>
      <c r="K67" s="51">
        <f>D67*K47</f>
        <v>23170.736929290561</v>
      </c>
    </row>
    <row r="68" spans="2:12" x14ac:dyDescent="0.3">
      <c r="B68" s="2"/>
      <c r="C68" s="2" t="s">
        <v>46</v>
      </c>
      <c r="D68" s="15">
        <f t="shared" ref="D68" si="10">23.704/158.571</f>
        <v>0.14948508869843793</v>
      </c>
      <c r="E68" s="15"/>
      <c r="F68" s="15"/>
      <c r="G68" s="2"/>
      <c r="H68" s="2"/>
      <c r="I68" s="2"/>
      <c r="J68" s="5"/>
      <c r="K68" s="5"/>
    </row>
    <row r="69" spans="2:12" x14ac:dyDescent="0.3">
      <c r="B69" s="45"/>
      <c r="C69" s="45" t="s">
        <v>47</v>
      </c>
      <c r="D69" s="46">
        <f>22.05/506.93</f>
        <v>4.3497129781232123E-2</v>
      </c>
      <c r="E69" s="46"/>
      <c r="F69" s="46"/>
      <c r="G69" s="3"/>
      <c r="H69" s="3"/>
      <c r="I69" s="3"/>
      <c r="J69" s="4"/>
      <c r="K69" s="4"/>
      <c r="L69" s="73"/>
    </row>
    <row r="70" spans="2:12" x14ac:dyDescent="0.3">
      <c r="B70" s="2"/>
      <c r="C70" s="2" t="s">
        <v>48</v>
      </c>
      <c r="D70" s="15">
        <f>1.1/42</f>
        <v>2.6190476190476191E-2</v>
      </c>
      <c r="E70" s="15"/>
      <c r="F70" s="15"/>
      <c r="G70" s="2"/>
      <c r="H70" s="2"/>
      <c r="I70" s="2"/>
      <c r="J70" s="5"/>
      <c r="K70" s="5"/>
    </row>
    <row r="71" spans="2:12" ht="15" thickBot="1" x14ac:dyDescent="0.35">
      <c r="B71" s="47"/>
      <c r="C71" s="47" t="s">
        <v>49</v>
      </c>
      <c r="D71" s="48">
        <f>18/168</f>
        <v>0.10714285714285714</v>
      </c>
      <c r="E71" s="48"/>
      <c r="F71" s="48"/>
      <c r="G71" s="8"/>
      <c r="H71" s="8"/>
      <c r="I71" s="8"/>
      <c r="J71" s="9"/>
      <c r="K71" s="9"/>
    </row>
    <row r="72" spans="2:12" ht="15" thickBot="1" x14ac:dyDescent="0.35">
      <c r="J72" s="1"/>
      <c r="K72" s="1"/>
    </row>
    <row r="73" spans="2:12" ht="24" thickBot="1" x14ac:dyDescent="0.5">
      <c r="B73" s="30" t="s">
        <v>51</v>
      </c>
      <c r="C73" s="32"/>
      <c r="D73" s="32"/>
      <c r="E73" s="32"/>
      <c r="F73" s="32"/>
      <c r="G73" s="32"/>
      <c r="H73" s="32"/>
      <c r="I73" s="32"/>
      <c r="J73" s="33">
        <f>J47+J52+J60+J67</f>
        <v>58841.469586370004</v>
      </c>
      <c r="K73" s="34">
        <f>K47+K52+K60+K67</f>
        <v>373375.72665692627</v>
      </c>
    </row>
    <row r="77" spans="2:12" x14ac:dyDescent="0.3">
      <c r="L77" s="73"/>
    </row>
    <row r="83" spans="12:12" s="31" customFormat="1" ht="23.4" x14ac:dyDescent="0.45"/>
    <row r="84" spans="12:12" x14ac:dyDescent="0.3">
      <c r="L84" s="73"/>
    </row>
    <row r="90" spans="12:12" x14ac:dyDescent="0.3">
      <c r="L90" s="73"/>
    </row>
  </sheetData>
  <pageMargins left="0.7" right="0.7" top="0.75" bottom="0.75" header="0.3" footer="0.3"/>
  <pageSetup scale="48" orientation="portrait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7DF18-47DF-4606-9859-39901168BE33}">
  <dimension ref="A1:G33"/>
  <sheetViews>
    <sheetView workbookViewId="0">
      <selection activeCell="I38" sqref="I38"/>
    </sheetView>
  </sheetViews>
  <sheetFormatPr defaultRowHeight="14.4" x14ac:dyDescent="0.3"/>
  <sheetData>
    <row r="1" spans="1:5" ht="18" x14ac:dyDescent="0.35">
      <c r="A1" s="168" t="s">
        <v>146</v>
      </c>
    </row>
    <row r="4" spans="1:5" x14ac:dyDescent="0.3">
      <c r="C4" t="s">
        <v>151</v>
      </c>
      <c r="D4" t="s">
        <v>152</v>
      </c>
    </row>
    <row r="5" spans="1:5" x14ac:dyDescent="0.3">
      <c r="B5" t="s">
        <v>147</v>
      </c>
      <c r="C5">
        <v>512</v>
      </c>
      <c r="D5">
        <v>2000</v>
      </c>
    </row>
    <row r="6" spans="1:5" x14ac:dyDescent="0.3">
      <c r="B6" t="s">
        <v>148</v>
      </c>
      <c r="C6" s="78">
        <v>400000000</v>
      </c>
      <c r="D6" s="78">
        <v>1300000000</v>
      </c>
    </row>
    <row r="7" spans="1:5" x14ac:dyDescent="0.3">
      <c r="B7" t="s">
        <v>149</v>
      </c>
      <c r="C7">
        <v>715500</v>
      </c>
      <c r="D7" s="78">
        <v>25000000</v>
      </c>
    </row>
    <row r="8" spans="1:5" x14ac:dyDescent="0.3">
      <c r="B8" t="s">
        <v>150</v>
      </c>
      <c r="C8" s="78">
        <f>C7/2/C6/C5^2</f>
        <v>3.4117698669433593E-9</v>
      </c>
      <c r="D8" s="78">
        <f>D7/2/D6/D5^2</f>
        <v>2.4038461538461538E-9</v>
      </c>
      <c r="E8" s="78">
        <f>AVERAGE(C8:D8)</f>
        <v>2.9078080103947564E-9</v>
      </c>
    </row>
    <row r="9" spans="1:5" x14ac:dyDescent="0.3">
      <c r="E9" t="s">
        <v>156</v>
      </c>
    </row>
    <row r="13" spans="1:5" x14ac:dyDescent="0.3">
      <c r="C13" t="s">
        <v>153</v>
      </c>
    </row>
    <row r="14" spans="1:5" x14ac:dyDescent="0.3">
      <c r="C14" t="s">
        <v>154</v>
      </c>
    </row>
    <row r="15" spans="1:5" x14ac:dyDescent="0.3">
      <c r="C15" t="s">
        <v>157</v>
      </c>
    </row>
    <row r="23" spans="1:7" ht="18" x14ac:dyDescent="0.35">
      <c r="A23" s="168" t="s">
        <v>158</v>
      </c>
    </row>
    <row r="25" spans="1:7" x14ac:dyDescent="0.3">
      <c r="A25" t="s">
        <v>163</v>
      </c>
      <c r="B25">
        <v>0.01</v>
      </c>
      <c r="C25">
        <v>0.01</v>
      </c>
      <c r="E25" t="s">
        <v>165</v>
      </c>
      <c r="F25" s="78">
        <v>2.4399999999999998E-10</v>
      </c>
      <c r="G25" t="s">
        <v>169</v>
      </c>
    </row>
    <row r="26" spans="1:7" x14ac:dyDescent="0.3">
      <c r="A26" t="s">
        <v>164</v>
      </c>
      <c r="B26">
        <f>20*B27</f>
        <v>100000</v>
      </c>
      <c r="C26">
        <f>20*C27</f>
        <v>640000</v>
      </c>
      <c r="E26" t="s">
        <v>166</v>
      </c>
      <c r="F26" s="78">
        <v>1.44E-11</v>
      </c>
    </row>
    <row r="27" spans="1:7" x14ac:dyDescent="0.3">
      <c r="A27" t="s">
        <v>161</v>
      </c>
      <c r="B27">
        <v>5000</v>
      </c>
      <c r="C27">
        <v>32000</v>
      </c>
      <c r="E27" t="s">
        <v>168</v>
      </c>
      <c r="F27" s="78">
        <v>1.8E-12</v>
      </c>
    </row>
    <row r="28" spans="1:7" x14ac:dyDescent="0.3">
      <c r="A28" t="s">
        <v>162</v>
      </c>
      <c r="B28" s="78">
        <v>900000000</v>
      </c>
      <c r="C28" s="78">
        <v>900000000</v>
      </c>
    </row>
    <row r="30" spans="1:7" x14ac:dyDescent="0.3">
      <c r="B30" t="s">
        <v>159</v>
      </c>
      <c r="C30" t="s">
        <v>160</v>
      </c>
    </row>
    <row r="31" spans="1:7" x14ac:dyDescent="0.3">
      <c r="A31" t="s">
        <v>167</v>
      </c>
      <c r="B31" s="78">
        <f>$F$25*2*B$28*((B$25*B$27)^2 +B$26*IMLOG2(B$26))</f>
        <v>730593.40963726433</v>
      </c>
      <c r="C31" s="78">
        <f>$F$25*2*C$28*((C$25*C$27)^2 +C$26*IMLOG2(C$26))</f>
        <v>5466518.5773428092</v>
      </c>
    </row>
    <row r="32" spans="1:7" x14ac:dyDescent="0.3">
      <c r="A32" t="s">
        <v>166</v>
      </c>
      <c r="B32" s="78">
        <f>$F$26*2*B$28*((B$25*B$27)^2 +B$26*IMLOG2(B$26))</f>
        <v>43116.988109740189</v>
      </c>
      <c r="C32" s="78">
        <f>$F$26*2*C$28*((C$25*C$27)^2 +C$26*IMLOG2(C$26))</f>
        <v>322614.21112187073</v>
      </c>
    </row>
    <row r="33" spans="1:3" x14ac:dyDescent="0.3">
      <c r="A33" t="s">
        <v>168</v>
      </c>
      <c r="B33" s="78">
        <f>$F$27*2*B$28*((B$25*B$27)^2 +B$26*IMLOG2(B$26))</f>
        <v>5389.6235137175236</v>
      </c>
      <c r="C33" s="78">
        <f>$F$27*2*C$28*((C$25*C$27)^2 +C$26*IMLOG2(C$26))</f>
        <v>40326.776390233841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EC140-F382-48B7-B25E-07D41B16067C}">
  <dimension ref="B12:J20"/>
  <sheetViews>
    <sheetView zoomScale="102" zoomScaleNormal="102" workbookViewId="0">
      <selection activeCell="J17" sqref="J17"/>
    </sheetView>
  </sheetViews>
  <sheetFormatPr defaultRowHeight="14.4" x14ac:dyDescent="0.3"/>
  <cols>
    <col min="2" max="2" width="13.5546875" bestFit="1" customWidth="1"/>
    <col min="4" max="4" width="7.5546875" bestFit="1" customWidth="1"/>
    <col min="5" max="5" width="7.109375" bestFit="1" customWidth="1"/>
    <col min="6" max="6" width="9.6640625" bestFit="1" customWidth="1"/>
    <col min="7" max="7" width="7.77734375" bestFit="1" customWidth="1"/>
    <col min="8" max="8" width="7.5546875" bestFit="1" customWidth="1"/>
    <col min="9" max="9" width="10.6640625" customWidth="1"/>
    <col min="10" max="10" width="9.6640625" bestFit="1" customWidth="1"/>
  </cols>
  <sheetData>
    <row r="12" spans="2:10" ht="15" thickBot="1" x14ac:dyDescent="0.35"/>
    <row r="13" spans="2:10" ht="18" x14ac:dyDescent="0.35">
      <c r="B13" s="145"/>
      <c r="C13" s="171" t="s">
        <v>104</v>
      </c>
      <c r="D13" s="169"/>
      <c r="E13" s="169"/>
      <c r="F13" s="172"/>
      <c r="G13" s="169" t="s">
        <v>105</v>
      </c>
      <c r="H13" s="169"/>
      <c r="I13" s="169"/>
      <c r="J13" s="170"/>
    </row>
    <row r="14" spans="2:10" ht="40.200000000000003" thickBot="1" x14ac:dyDescent="0.35">
      <c r="B14" s="140" t="s">
        <v>58</v>
      </c>
      <c r="C14" s="128" t="s">
        <v>59</v>
      </c>
      <c r="D14" s="71" t="s">
        <v>60</v>
      </c>
      <c r="E14" s="69" t="s">
        <v>61</v>
      </c>
      <c r="F14" s="70" t="s">
        <v>62</v>
      </c>
      <c r="G14" s="128" t="s">
        <v>59</v>
      </c>
      <c r="H14" s="71" t="s">
        <v>60</v>
      </c>
      <c r="I14" s="69" t="s">
        <v>61</v>
      </c>
      <c r="J14" s="72" t="s">
        <v>62</v>
      </c>
    </row>
    <row r="15" spans="2:10" ht="15" thickBot="1" x14ac:dyDescent="0.35">
      <c r="B15" s="141" t="s">
        <v>63</v>
      </c>
      <c r="C15" s="136" t="s">
        <v>64</v>
      </c>
      <c r="D15" s="133">
        <v>15</v>
      </c>
      <c r="E15" s="62">
        <v>5</v>
      </c>
      <c r="F15" s="63">
        <v>30</v>
      </c>
      <c r="G15" s="129" t="s">
        <v>106</v>
      </c>
      <c r="H15" s="57">
        <f>0.75*J15</f>
        <v>26.25</v>
      </c>
      <c r="I15" s="57">
        <f>0.25*J15</f>
        <v>8.75</v>
      </c>
      <c r="J15" s="58">
        <v>35</v>
      </c>
    </row>
    <row r="16" spans="2:10" ht="23.4" thickBot="1" x14ac:dyDescent="0.35">
      <c r="B16" s="142" t="s">
        <v>65</v>
      </c>
      <c r="C16" s="136" t="s">
        <v>66</v>
      </c>
      <c r="D16" s="62">
        <v>8</v>
      </c>
      <c r="E16" s="62">
        <v>2</v>
      </c>
      <c r="F16" s="63">
        <v>10</v>
      </c>
      <c r="G16" s="129" t="s">
        <v>108</v>
      </c>
      <c r="H16" s="57">
        <v>8</v>
      </c>
      <c r="I16" s="57">
        <v>2</v>
      </c>
      <c r="J16" s="58">
        <v>10</v>
      </c>
    </row>
    <row r="17" spans="2:10" ht="23.4" thickBot="1" x14ac:dyDescent="0.35">
      <c r="B17" s="142" t="s">
        <v>67</v>
      </c>
      <c r="C17" s="137" t="s">
        <v>111</v>
      </c>
      <c r="D17" s="133">
        <f>F17*0.95</f>
        <v>55.899396107051501</v>
      </c>
      <c r="E17" s="62">
        <f>F17*0.05</f>
        <v>2.9420734793185002</v>
      </c>
      <c r="F17" s="64">
        <f>Construction_Breakdown!$J$73/1000</f>
        <v>58.841469586370003</v>
      </c>
      <c r="G17" s="130" t="s">
        <v>109</v>
      </c>
      <c r="H17" s="57">
        <f>J17*0.95</f>
        <v>354.70694032407994</v>
      </c>
      <c r="I17" s="57">
        <f>J17*0.05</f>
        <v>18.668786332846313</v>
      </c>
      <c r="J17" s="58">
        <f>Construction_Breakdown!K$73/1000</f>
        <v>373.37572665692625</v>
      </c>
    </row>
    <row r="18" spans="2:10" ht="15" thickBot="1" x14ac:dyDescent="0.35">
      <c r="B18" s="141" t="s">
        <v>68</v>
      </c>
      <c r="C18" s="136" t="s">
        <v>112</v>
      </c>
      <c r="D18" s="133">
        <f>F18*0.9</f>
        <v>15.887196788319901</v>
      </c>
      <c r="E18" s="62">
        <f>F18*0.1</f>
        <v>1.7652440875911002</v>
      </c>
      <c r="F18" s="63">
        <f>0.06*F17*5</f>
        <v>17.652440875911001</v>
      </c>
      <c r="G18" s="129" t="s">
        <v>69</v>
      </c>
      <c r="H18" s="57">
        <f>J18*0.9</f>
        <v>100.81144619737007</v>
      </c>
      <c r="I18" s="57">
        <f>J18*0.1</f>
        <v>11.201271799707786</v>
      </c>
      <c r="J18" s="58">
        <f>0.06*J17*5</f>
        <v>112.01271799707786</v>
      </c>
    </row>
    <row r="19" spans="2:10" ht="15" thickBot="1" x14ac:dyDescent="0.35">
      <c r="B19" s="143" t="s">
        <v>70</v>
      </c>
      <c r="C19" s="138" t="s">
        <v>113</v>
      </c>
      <c r="D19" s="134">
        <f>F19*0.75</f>
        <v>12.356708613137702</v>
      </c>
      <c r="E19" s="65">
        <f>F19*0.25</f>
        <v>4.1189028710459006</v>
      </c>
      <c r="F19" s="66">
        <f>0.07*F17*4</f>
        <v>16.475611484183602</v>
      </c>
      <c r="G19" s="131" t="s">
        <v>110</v>
      </c>
      <c r="H19" s="59">
        <f>J19*0.75</f>
        <v>78.408902597954523</v>
      </c>
      <c r="I19" s="59">
        <f>J19*0.25</f>
        <v>26.13630086598484</v>
      </c>
      <c r="J19" s="60">
        <f>0.07*J17*4</f>
        <v>104.54520346393936</v>
      </c>
    </row>
    <row r="20" spans="2:10" ht="15" thickBot="1" x14ac:dyDescent="0.35">
      <c r="B20" s="144" t="s">
        <v>2</v>
      </c>
      <c r="C20" s="139" t="s">
        <v>107</v>
      </c>
      <c r="D20" s="135">
        <f t="shared" ref="D20:J20" si="0">SUM(D15:D19)</f>
        <v>107.1433015085091</v>
      </c>
      <c r="E20" s="67">
        <f t="shared" si="0"/>
        <v>15.8262204379555</v>
      </c>
      <c r="F20" s="68">
        <f t="shared" si="0"/>
        <v>132.96952194646462</v>
      </c>
      <c r="G20" s="132" t="s">
        <v>71</v>
      </c>
      <c r="H20" s="61">
        <f t="shared" si="0"/>
        <v>568.17728911940458</v>
      </c>
      <c r="I20" s="61">
        <f t="shared" si="0"/>
        <v>66.756358998538943</v>
      </c>
      <c r="J20" s="56">
        <f t="shared" si="0"/>
        <v>634.93364811794356</v>
      </c>
    </row>
  </sheetData>
  <mergeCells count="2">
    <mergeCell ref="G13:J13"/>
    <mergeCell ref="C13:F13"/>
  </mergeCells>
  <pageMargins left="0.7" right="0.7" top="0.75" bottom="0.75" header="0.3" footer="0.3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2619D-9796-4986-A502-8975C5F4C0A3}">
  <dimension ref="D1:N1"/>
  <sheetViews>
    <sheetView topLeftCell="A2" zoomScale="130" zoomScaleNormal="130" workbookViewId="0">
      <selection activeCell="Q38" sqref="Q38"/>
    </sheetView>
  </sheetViews>
  <sheetFormatPr defaultRowHeight="14.4" x14ac:dyDescent="0.3"/>
  <sheetData>
    <row r="1" spans="4:14" x14ac:dyDescent="0.3">
      <c r="D1" s="1">
        <f>Construction_Breakdown!J73</f>
        <v>58841.469586370004</v>
      </c>
      <c r="N1" s="1">
        <f>Construction_Breakdown!K73</f>
        <v>373375.72665692627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6621F-C971-41EA-9693-C9BF92B27179}">
  <dimension ref="B3:T17"/>
  <sheetViews>
    <sheetView workbookViewId="0">
      <selection activeCell="O29" sqref="O29"/>
    </sheetView>
  </sheetViews>
  <sheetFormatPr defaultRowHeight="14.4" x14ac:dyDescent="0.3"/>
  <cols>
    <col min="2" max="2" width="32.33203125" bestFit="1" customWidth="1"/>
    <col min="3" max="20" width="5.77734375" customWidth="1"/>
  </cols>
  <sheetData>
    <row r="3" spans="2:20" ht="15" thickBot="1" x14ac:dyDescent="0.35"/>
    <row r="4" spans="2:20" ht="15.6" thickTop="1" thickBot="1" x14ac:dyDescent="0.35">
      <c r="C4" s="158" t="s">
        <v>116</v>
      </c>
      <c r="D4" s="159" t="s">
        <v>117</v>
      </c>
      <c r="E4" s="159" t="s">
        <v>118</v>
      </c>
      <c r="F4" s="159" t="s">
        <v>119</v>
      </c>
      <c r="G4" s="159" t="s">
        <v>120</v>
      </c>
      <c r="H4" s="159" t="s">
        <v>121</v>
      </c>
      <c r="I4" s="159" t="s">
        <v>122</v>
      </c>
      <c r="J4" s="159" t="s">
        <v>123</v>
      </c>
      <c r="K4" s="159" t="s">
        <v>124</v>
      </c>
      <c r="L4" s="159" t="s">
        <v>125</v>
      </c>
      <c r="M4" s="159" t="s">
        <v>126</v>
      </c>
      <c r="N4" s="159" t="s">
        <v>127</v>
      </c>
      <c r="O4" s="159" t="s">
        <v>128</v>
      </c>
      <c r="P4" s="159" t="s">
        <v>129</v>
      </c>
      <c r="Q4" s="160" t="s">
        <v>130</v>
      </c>
      <c r="R4" s="7"/>
      <c r="S4" s="7"/>
      <c r="T4" s="7"/>
    </row>
    <row r="5" spans="2:20" ht="15" thickTop="1" x14ac:dyDescent="0.3">
      <c r="B5" s="13" t="s">
        <v>114</v>
      </c>
      <c r="C5" s="147"/>
      <c r="D5" s="148"/>
      <c r="E5" s="148"/>
      <c r="F5" s="148"/>
      <c r="G5" s="166" t="s">
        <v>139</v>
      </c>
      <c r="H5" s="149"/>
      <c r="I5" s="149"/>
      <c r="J5" s="149"/>
      <c r="K5" s="149"/>
      <c r="L5" s="149"/>
      <c r="M5" s="149"/>
      <c r="N5" s="149"/>
      <c r="O5" s="149"/>
      <c r="P5" s="149"/>
      <c r="Q5" s="150"/>
    </row>
    <row r="6" spans="2:20" x14ac:dyDescent="0.3">
      <c r="B6" s="13" t="s">
        <v>115</v>
      </c>
      <c r="C6" s="151"/>
      <c r="D6" s="149"/>
      <c r="E6" s="149"/>
      <c r="F6" s="149"/>
      <c r="G6" s="152"/>
      <c r="H6" s="152"/>
      <c r="I6" s="166" t="s">
        <v>140</v>
      </c>
      <c r="J6" s="149"/>
      <c r="K6" s="149"/>
      <c r="L6" s="149"/>
      <c r="M6" s="149"/>
      <c r="N6" s="149"/>
      <c r="O6" s="149"/>
      <c r="P6" s="149"/>
      <c r="Q6" s="150"/>
    </row>
    <row r="7" spans="2:20" x14ac:dyDescent="0.3">
      <c r="B7" s="13" t="s">
        <v>134</v>
      </c>
      <c r="C7" s="151"/>
      <c r="D7" s="149"/>
      <c r="E7" s="149"/>
      <c r="F7" s="149"/>
      <c r="G7" s="149"/>
      <c r="H7" s="149"/>
      <c r="I7" s="153"/>
      <c r="J7" s="153"/>
      <c r="K7" s="153"/>
      <c r="L7" s="153"/>
      <c r="M7" s="166" t="s">
        <v>141</v>
      </c>
      <c r="N7" s="149"/>
      <c r="O7" s="149"/>
      <c r="P7" s="149"/>
      <c r="Q7" s="150"/>
    </row>
    <row r="8" spans="2:20" ht="15" thickBot="1" x14ac:dyDescent="0.35">
      <c r="B8" s="13" t="s">
        <v>68</v>
      </c>
      <c r="C8" s="154"/>
      <c r="D8" s="155"/>
      <c r="E8" s="155"/>
      <c r="F8" s="155"/>
      <c r="G8" s="155"/>
      <c r="H8" s="155"/>
      <c r="I8" s="155"/>
      <c r="J8" s="155"/>
      <c r="K8" s="155"/>
      <c r="L8" s="155"/>
      <c r="M8" s="167" t="s">
        <v>144</v>
      </c>
      <c r="N8" s="156"/>
      <c r="O8" s="156"/>
      <c r="P8" s="156"/>
      <c r="Q8" s="157"/>
    </row>
    <row r="9" spans="2:20" ht="15" thickTop="1" x14ac:dyDescent="0.3">
      <c r="L9" s="146"/>
      <c r="M9" s="146"/>
      <c r="N9" s="146"/>
      <c r="O9" s="146"/>
      <c r="P9" s="146"/>
      <c r="Q9" s="146"/>
    </row>
    <row r="11" spans="2:20" ht="15" thickBot="1" x14ac:dyDescent="0.35"/>
    <row r="12" spans="2:20" ht="15.6" thickTop="1" thickBot="1" x14ac:dyDescent="0.35">
      <c r="C12" s="158" t="s">
        <v>116</v>
      </c>
      <c r="D12" s="159" t="s">
        <v>117</v>
      </c>
      <c r="E12" s="159" t="s">
        <v>118</v>
      </c>
      <c r="F12" s="159" t="s">
        <v>119</v>
      </c>
      <c r="G12" s="159" t="s">
        <v>120</v>
      </c>
      <c r="H12" s="159" t="s">
        <v>121</v>
      </c>
      <c r="I12" s="159" t="s">
        <v>122</v>
      </c>
      <c r="J12" s="159" t="s">
        <v>123</v>
      </c>
      <c r="K12" s="159" t="s">
        <v>124</v>
      </c>
      <c r="L12" s="159" t="s">
        <v>125</v>
      </c>
      <c r="M12" s="159" t="s">
        <v>126</v>
      </c>
      <c r="N12" s="159" t="s">
        <v>127</v>
      </c>
      <c r="O12" s="159" t="s">
        <v>128</v>
      </c>
      <c r="P12" s="159" t="s">
        <v>129</v>
      </c>
      <c r="Q12" s="161" t="s">
        <v>130</v>
      </c>
      <c r="R12" s="162" t="s">
        <v>131</v>
      </c>
      <c r="S12" s="159" t="s">
        <v>132</v>
      </c>
      <c r="T12" s="160" t="s">
        <v>133</v>
      </c>
    </row>
    <row r="13" spans="2:20" ht="15" thickTop="1" x14ac:dyDescent="0.3">
      <c r="B13" s="13" t="s">
        <v>114</v>
      </c>
      <c r="C13" s="147"/>
      <c r="D13" s="148"/>
      <c r="E13" s="148"/>
      <c r="F13" s="148"/>
      <c r="G13" s="148"/>
      <c r="H13" s="166" t="s">
        <v>142</v>
      </c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50"/>
    </row>
    <row r="14" spans="2:20" x14ac:dyDescent="0.3">
      <c r="B14" s="13" t="s">
        <v>115</v>
      </c>
      <c r="C14" s="151"/>
      <c r="D14" s="149"/>
      <c r="E14" s="149"/>
      <c r="F14" s="149"/>
      <c r="G14" s="149"/>
      <c r="H14" s="152"/>
      <c r="I14" s="152"/>
      <c r="J14" s="166" t="s">
        <v>143</v>
      </c>
      <c r="K14" s="149"/>
      <c r="L14" s="149"/>
      <c r="M14" s="149"/>
      <c r="N14" s="149"/>
      <c r="O14" s="149"/>
      <c r="P14" s="149"/>
      <c r="Q14" s="149"/>
      <c r="R14" s="149"/>
      <c r="S14" s="149"/>
      <c r="T14" s="150"/>
    </row>
    <row r="15" spans="2:20" x14ac:dyDescent="0.3">
      <c r="B15" s="13" t="s">
        <v>134</v>
      </c>
      <c r="C15" s="151"/>
      <c r="D15" s="149"/>
      <c r="E15" s="149"/>
      <c r="F15" s="149"/>
      <c r="G15" s="149"/>
      <c r="H15" s="149"/>
      <c r="I15" s="149"/>
      <c r="J15" s="153"/>
      <c r="K15" s="153"/>
      <c r="L15" s="153"/>
      <c r="M15" s="153"/>
      <c r="N15" s="153"/>
      <c r="O15" s="153"/>
      <c r="P15" s="166" t="s">
        <v>145</v>
      </c>
      <c r="Q15" s="149"/>
      <c r="R15" s="149"/>
      <c r="S15" s="149"/>
      <c r="T15" s="150"/>
    </row>
    <row r="16" spans="2:20" ht="15" thickBot="1" x14ac:dyDescent="0.35">
      <c r="B16" s="13" t="s">
        <v>68</v>
      </c>
      <c r="C16" s="154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67" t="s">
        <v>144</v>
      </c>
      <c r="Q16" s="156"/>
      <c r="R16" s="156"/>
      <c r="S16" s="156"/>
      <c r="T16" s="157"/>
    </row>
    <row r="17" ht="15" thickTop="1" x14ac:dyDescent="0.3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Construction_Breakdown</vt:lpstr>
      <vt:lpstr>FX Correlator cost</vt:lpstr>
      <vt:lpstr>Summary</vt:lpstr>
      <vt:lpstr>Constr Pie Chart</vt:lpstr>
      <vt:lpstr>Timeline</vt:lpstr>
      <vt:lpstr>Construction_Breakdown!Print_Area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O'Connor, Paul</dc:creator>
  <cp:lastModifiedBy>O'Connor, Paul</cp:lastModifiedBy>
  <cp:lastPrinted>2019-06-24T22:11:14Z</cp:lastPrinted>
  <dcterms:created xsi:type="dcterms:W3CDTF">2019-05-12T22:08:17Z</dcterms:created>
  <dcterms:modified xsi:type="dcterms:W3CDTF">2019-12-05T23:10:45Z</dcterms:modified>
</cp:coreProperties>
</file>