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https://brookhavenlab-my.sharepoint.com/personal/poc_bnl_gov/Documents/CV_21cm/Decadal_190710/cost_estimate/"/>
    </mc:Choice>
  </mc:AlternateContent>
  <xr:revisionPtr revIDLastSave="0" documentId="8_{71A9179A-F8BC-41E0-86DE-8DE59EC214DD}" xr6:coauthVersionLast="36" xr6:coauthVersionMax="36" xr10:uidLastSave="{00000000-0000-0000-0000-000000000000}"/>
  <bookViews>
    <workbookView xWindow="0" yWindow="0" windowWidth="14625" windowHeight="6180" xr2:uid="{00000000-000D-0000-FFFF-FFFF00000000}"/>
  </bookViews>
  <sheets>
    <sheet name="Construction_Breakdown" sheetId="2" r:id="rId1"/>
  </sheets>
  <definedNames>
    <definedName name="_xlnm._FilterDatabase" localSheetId="0" hidden="1">Construction_Breakdown!$B$35:$I$36</definedName>
    <definedName name="_xlnm.Print_Area" localSheetId="0">Construction_Breakdown!$B$2:$N$81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10" i="2" l="1"/>
  <c r="M10" i="2"/>
  <c r="I55" i="2" l="1"/>
  <c r="H55" i="2"/>
  <c r="F51" i="2"/>
  <c r="E51" i="2"/>
  <c r="N2" i="2" l="1"/>
  <c r="M2" i="2"/>
  <c r="E38" i="2" l="1"/>
  <c r="F30" i="2"/>
  <c r="F32" i="2" s="1"/>
  <c r="E30" i="2"/>
  <c r="E32" i="2" s="1"/>
  <c r="E19" i="2"/>
  <c r="F19" i="2"/>
  <c r="F15" i="2"/>
  <c r="E15" i="2"/>
  <c r="I32" i="2" l="1"/>
  <c r="N6" i="2" s="1"/>
  <c r="H32" i="2"/>
  <c r="M6" i="2" s="1"/>
  <c r="F45" i="2" l="1"/>
  <c r="F47" i="2" s="1"/>
  <c r="I47" i="2" s="1"/>
  <c r="E45" i="2"/>
  <c r="E48" i="2" s="1"/>
  <c r="H48" i="2" s="1"/>
  <c r="F38" i="2"/>
  <c r="F42" i="2" s="1"/>
  <c r="I42" i="2" s="1"/>
  <c r="E42" i="2"/>
  <c r="H42" i="2" s="1"/>
  <c r="F34" i="2"/>
  <c r="E34" i="2"/>
  <c r="E12" i="2"/>
  <c r="H12" i="2" s="1"/>
  <c r="E11" i="2"/>
  <c r="H11" i="2" s="1"/>
  <c r="F48" i="2"/>
  <c r="I48" i="2" s="1"/>
  <c r="F26" i="2"/>
  <c r="I26" i="2" s="1"/>
  <c r="F25" i="2"/>
  <c r="I25" i="2" s="1"/>
  <c r="F24" i="2"/>
  <c r="I24" i="2" s="1"/>
  <c r="F23" i="2"/>
  <c r="I23" i="2" s="1"/>
  <c r="F22" i="2"/>
  <c r="I22" i="2" s="1"/>
  <c r="F21" i="2"/>
  <c r="I21" i="2" s="1"/>
  <c r="E26" i="2"/>
  <c r="H26" i="2" s="1"/>
  <c r="E25" i="2"/>
  <c r="H25" i="2" s="1"/>
  <c r="E24" i="2"/>
  <c r="H24" i="2" s="1"/>
  <c r="E23" i="2"/>
  <c r="H23" i="2" s="1"/>
  <c r="E22" i="2"/>
  <c r="H22" i="2" s="1"/>
  <c r="E21" i="2"/>
  <c r="H21" i="2" s="1"/>
  <c r="F17" i="2"/>
  <c r="I17" i="2" s="1"/>
  <c r="N4" i="2" s="1"/>
  <c r="E17" i="2"/>
  <c r="H17" i="2" s="1"/>
  <c r="M4" i="2" s="1"/>
  <c r="E9" i="2"/>
  <c r="H9" i="2" s="1"/>
  <c r="F12" i="2"/>
  <c r="I12" i="2" s="1"/>
  <c r="F11" i="2"/>
  <c r="I11" i="2" s="1"/>
  <c r="D79" i="2"/>
  <c r="D78" i="2"/>
  <c r="D77" i="2"/>
  <c r="D76" i="2"/>
  <c r="D69" i="2"/>
  <c r="D61" i="2"/>
  <c r="D71" i="2"/>
  <c r="D70" i="2"/>
  <c r="D64" i="2"/>
  <c r="D63" i="2"/>
  <c r="D62" i="2"/>
  <c r="I49" i="2" l="1"/>
  <c r="D68" i="2"/>
  <c r="E47" i="2"/>
  <c r="H47" i="2" s="1"/>
  <c r="H49" i="2" s="1"/>
  <c r="F40" i="2"/>
  <c r="I40" i="2" s="1"/>
  <c r="D75" i="2"/>
  <c r="E40" i="2"/>
  <c r="H40" i="2" s="1"/>
  <c r="E41" i="2"/>
  <c r="H41" i="2" s="1"/>
  <c r="F41" i="2"/>
  <c r="I41" i="2" s="1"/>
  <c r="D60" i="2"/>
  <c r="H43" i="2" l="1"/>
  <c r="I43" i="2"/>
  <c r="D43" i="2"/>
  <c r="D49" i="2"/>
  <c r="F36" i="2"/>
  <c r="I36" i="2" s="1"/>
  <c r="D27" i="2"/>
  <c r="D8" i="2"/>
  <c r="D10" i="2"/>
  <c r="E10" i="2" s="1"/>
  <c r="H10" i="2" s="1"/>
  <c r="N7" i="2" l="1"/>
  <c r="I53" i="2"/>
  <c r="N9" i="2"/>
  <c r="N8" i="2"/>
  <c r="M9" i="2"/>
  <c r="M8" i="2"/>
  <c r="F27" i="2"/>
  <c r="I27" i="2" s="1"/>
  <c r="I28" i="2" s="1"/>
  <c r="E27" i="2"/>
  <c r="H27" i="2" s="1"/>
  <c r="H28" i="2" s="1"/>
  <c r="E36" i="2"/>
  <c r="H36" i="2" s="1"/>
  <c r="F10" i="2"/>
  <c r="I10" i="2" s="1"/>
  <c r="F8" i="2"/>
  <c r="I8" i="2" s="1"/>
  <c r="E8" i="2"/>
  <c r="H8" i="2" s="1"/>
  <c r="H13" i="2" s="1"/>
  <c r="M3" i="2" s="1"/>
  <c r="F43" i="2"/>
  <c r="F49" i="2"/>
  <c r="E49" i="2"/>
  <c r="D28" i="2"/>
  <c r="E43" i="2"/>
  <c r="E28" i="2"/>
  <c r="M7" i="2" l="1"/>
  <c r="H53" i="2"/>
  <c r="H75" i="2"/>
  <c r="M13" i="2" s="1"/>
  <c r="M5" i="2"/>
  <c r="N5" i="2"/>
  <c r="F28" i="2"/>
  <c r="H60" i="2" l="1"/>
  <c r="M11" i="2" s="1"/>
  <c r="H68" i="2"/>
  <c r="M12" i="2" s="1"/>
  <c r="H81" i="2" l="1"/>
  <c r="E13" i="2"/>
  <c r="D13" i="2" s="1"/>
  <c r="D9" i="2"/>
  <c r="F9" i="2" s="1"/>
  <c r="F13" i="2" l="1"/>
  <c r="I9" i="2"/>
  <c r="I13" i="2" s="1"/>
  <c r="I75" i="2" l="1"/>
  <c r="N13" i="2" s="1"/>
  <c r="N3" i="2"/>
  <c r="I60" i="2"/>
  <c r="N11" i="2" s="1"/>
  <c r="I68" i="2" l="1"/>
  <c r="N12" i="2" s="1"/>
  <c r="I81" i="2"/>
</calcChain>
</file>

<file path=xl/sharedStrings.xml><?xml version="1.0" encoding="utf-8"?>
<sst xmlns="http://schemas.openxmlformats.org/spreadsheetml/2006/main" count="203" uniqueCount="87">
  <si>
    <t>Component</t>
  </si>
  <si>
    <t>backplane</t>
  </si>
  <si>
    <t>networking</t>
  </si>
  <si>
    <t>GPU hut</t>
  </si>
  <si>
    <t>cabling</t>
  </si>
  <si>
    <t>-</t>
  </si>
  <si>
    <t>TOTAL</t>
  </si>
  <si>
    <t>DISH</t>
  </si>
  <si>
    <t>Dish Materials</t>
  </si>
  <si>
    <t>Mold</t>
  </si>
  <si>
    <t>Basis</t>
  </si>
  <si>
    <t>$50K/mold/300 dishes</t>
  </si>
  <si>
    <t>Labor</t>
  </si>
  <si>
    <t>1.5 days/dish * 8hr/day * $30/hr</t>
  </si>
  <si>
    <t xml:space="preserve">Mount </t>
  </si>
  <si>
    <t>Dish Installation Labor</t>
  </si>
  <si>
    <t>Dish Fabrication Labor</t>
  </si>
  <si>
    <t>1.5 hours * 2 persons/dish</t>
  </si>
  <si>
    <t>Cost/dish($)</t>
  </si>
  <si>
    <t>Ave. of HIRAX +  CHORD estimates</t>
  </si>
  <si>
    <t>FEED</t>
  </si>
  <si>
    <t>Ave.  of HIRAX and CHORD estimates</t>
  </si>
  <si>
    <t>ON-DISH ELECTRONICS</t>
  </si>
  <si>
    <t>Amplifiers</t>
  </si>
  <si>
    <t>Digitizer</t>
  </si>
  <si>
    <t>PCB</t>
  </si>
  <si>
    <t>Enclosure, connectors</t>
  </si>
  <si>
    <t xml:space="preserve">Cost/dual pol </t>
  </si>
  <si>
    <t>Cost PP ($K)</t>
  </si>
  <si>
    <t>N=</t>
  </si>
  <si>
    <t>Cost PF ($K)</t>
  </si>
  <si>
    <t>Filters, attenuators</t>
  </si>
  <si>
    <t>BMX: 2X hpass, 2X lopass</t>
  </si>
  <si>
    <t xml:space="preserve"> 2X LNA, 4K gain block (skyworks) </t>
  </si>
  <si>
    <t>FPGA+serdes+transceiver</t>
  </si>
  <si>
    <t>5-layer board 4"x12" in quantity</t>
  </si>
  <si>
    <t>BMX in quantity</t>
  </si>
  <si>
    <t>1day/box * 8hr/day * $30/hr</t>
  </si>
  <si>
    <t>ex. Artix-7 AC701 (includes F-engine)</t>
  </si>
  <si>
    <t xml:space="preserve"> 1X ADC08J3200 dual 8b/3.2GSa/s ADC</t>
  </si>
  <si>
    <t>CORRELATOR</t>
  </si>
  <si>
    <t>assembly + test labor</t>
  </si>
  <si>
    <t>INSTALLATION AND COMMISSIONING</t>
  </si>
  <si>
    <t xml:space="preserve"> $253 </t>
  </si>
  <si>
    <t>cost-optimized altitude only</t>
  </si>
  <si>
    <t>% of total cost</t>
  </si>
  <si>
    <t>MANAGEMENT AND SYSTEMS ENGINEERING</t>
  </si>
  <si>
    <t>ave. of LSSTCam, CMB-S4, and PICO</t>
  </si>
  <si>
    <t>Cost/HIRAX dish</t>
  </si>
  <si>
    <t>Rcvr/digitizer hut</t>
  </si>
  <si>
    <t>HIRAX-512 est., L. Newburgh 5/9/2019</t>
  </si>
  <si>
    <t>BACK-END ELECTRONICS FACILITY</t>
  </si>
  <si>
    <r>
      <t>N</t>
    </r>
    <r>
      <rPr>
        <b/>
        <vertAlign val="subscript"/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</rPr>
      <t>×</t>
    </r>
    <r>
      <rPr>
        <b/>
        <vertAlign val="subscript"/>
        <sz val="11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log(N)/log(N</t>
    </r>
    <r>
      <rPr>
        <b/>
        <vertAlign val="subscript"/>
        <sz val="11"/>
        <color theme="1"/>
        <rFont val="Calibri"/>
        <family val="2"/>
        <scheme val="minor"/>
      </rPr>
      <t>HIRAX_dish</t>
    </r>
    <r>
      <rPr>
        <b/>
        <sz val="11"/>
        <color theme="1"/>
        <rFont val="Calibri"/>
        <family val="2"/>
        <scheme val="minor"/>
      </rPr>
      <t>)</t>
    </r>
  </si>
  <si>
    <t>CORNER TURN</t>
  </si>
  <si>
    <t>CONTROL, CALIBRATION, AND DATA MANAGEMENT</t>
  </si>
  <si>
    <t>Labor + hardware</t>
  </si>
  <si>
    <t>ave. of LSSTCam, HERA-II, CMB-S4, and PICO</t>
  </si>
  <si>
    <t>ave. of LSSTCam, CMB-S4, HERA-II, and PICO</t>
  </si>
  <si>
    <t>HERA-II: 10/42 $M</t>
  </si>
  <si>
    <t>CMB-S4: 59.1/506.934 $M</t>
  </si>
  <si>
    <t>PICO: 21/432.7 $M</t>
  </si>
  <si>
    <t>CMB-S4: 31.52/506.93 $M</t>
  </si>
  <si>
    <t>PICO instrument: 29/168 $M</t>
  </si>
  <si>
    <t>LSST: 12.98/158.57 $M</t>
  </si>
  <si>
    <t>LSST: 15.927/158.57 $M</t>
  </si>
  <si>
    <t>LSST: 23.704/158.571 $M</t>
  </si>
  <si>
    <t>CMB-S4: 22.05/506.93 $M</t>
  </si>
  <si>
    <t>HERA-II: 1.1/42 $M</t>
  </si>
  <si>
    <t>PICO  instrument: 18/168 $M</t>
  </si>
  <si>
    <t>d(Cost)/dt</t>
  </si>
  <si>
    <t>Yrs. To CD3a=</t>
  </si>
  <si>
    <r>
      <t xml:space="preserve">Cost PP ($K)
</t>
    </r>
    <r>
      <rPr>
        <b/>
        <i/>
        <sz val="11"/>
        <color theme="0"/>
        <rFont val="Calibri"/>
        <family val="2"/>
        <scheme val="minor"/>
      </rPr>
      <t>sans</t>
    </r>
    <r>
      <rPr>
        <b/>
        <sz val="11"/>
        <color theme="0"/>
        <rFont val="Calibri"/>
        <family val="2"/>
        <scheme val="minor"/>
      </rPr>
      <t xml:space="preserve"> Moore</t>
    </r>
  </si>
  <si>
    <r>
      <t xml:space="preserve">Cost PF ($K)
</t>
    </r>
    <r>
      <rPr>
        <b/>
        <i/>
        <sz val="11"/>
        <color theme="0"/>
        <rFont val="Calibri"/>
        <family val="2"/>
        <scheme val="minor"/>
      </rPr>
      <t xml:space="preserve">sans </t>
    </r>
    <r>
      <rPr>
        <b/>
        <sz val="11"/>
        <color theme="0"/>
        <rFont val="Calibri"/>
        <family val="2"/>
        <scheme val="minor"/>
      </rPr>
      <t>Moore</t>
    </r>
  </si>
  <si>
    <r>
      <t>Cost PP ($K)</t>
    </r>
    <r>
      <rPr>
        <b/>
        <i/>
        <sz val="11"/>
        <color theme="0"/>
        <rFont val="Calibri"/>
        <family val="2"/>
        <scheme val="minor"/>
      </rPr>
      <t xml:space="preserve">
sans</t>
    </r>
    <r>
      <rPr>
        <b/>
        <sz val="11"/>
        <color theme="0"/>
        <rFont val="Calibri"/>
        <family val="2"/>
        <scheme val="minor"/>
      </rPr>
      <t xml:space="preserve"> Moore</t>
    </r>
  </si>
  <si>
    <t>GRAND TOTAL</t>
  </si>
  <si>
    <t xml:space="preserve"> TOTAL CONSTRUCTION</t>
  </si>
  <si>
    <t>SITE UPGRADE</t>
  </si>
  <si>
    <t xml:space="preserve"> </t>
  </si>
  <si>
    <t>U.S. contribution</t>
  </si>
  <si>
    <t xml:space="preserve"> - </t>
  </si>
  <si>
    <t xml:space="preserve"> -</t>
  </si>
  <si>
    <t>TIMING DISTRIBUTION</t>
  </si>
  <si>
    <t>HIRAX-512 est.: $320K/512 dishes
K. Vanderlinde 5/9/2019</t>
  </si>
  <si>
    <t>N/6=</t>
  </si>
  <si>
    <r>
      <t>SKA-mid system (</t>
    </r>
    <r>
      <rPr>
        <i/>
        <sz val="8"/>
        <color theme="1"/>
        <rFont val="Calibri"/>
        <family val="2"/>
        <scheme val="minor"/>
      </rPr>
      <t>S. Schediwy et al.  doi:10.1017/pasa.2018.48</t>
    </r>
    <r>
      <rPr>
        <i/>
        <sz val="9"/>
        <color theme="1"/>
        <rFont val="Calibri"/>
        <family val="2"/>
        <scheme val="minor"/>
      </rPr>
      <t>)
deployed at every 6 stations</t>
    </r>
  </si>
  <si>
    <t>Estimated at 10% of Correlator cost</t>
  </si>
  <si>
    <t>FRB/PULSAR BACKEND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</si>
</sst>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%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vertAlign val="subscript"/>
      <sz val="11"/>
      <color theme="1"/>
      <name val="Calibri"/>
      <family val="2"/>
    </font>
    <font>
      <b/>
      <i/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theme="0" tint="-0.14999847407452621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/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/>
      <top style="medium">
        <color theme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theme="1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86">
    <xf numFmtId="0" fontId="0" fillId="0" borderId="0" xfId="0"/>
    <xf numFmtId="6" fontId="0" fillId="0" borderId="0" xfId="0" applyNumberFormat="1"/>
    <xf numFmtId="6" fontId="0" fillId="0" borderId="2" xfId="0" applyNumberFormat="1" applyFont="1" applyBorder="1"/>
    <xf numFmtId="164" fontId="0" fillId="0" borderId="0" xfId="1" applyNumberFormat="1" applyFont="1"/>
    <xf numFmtId="0" fontId="0" fillId="4" borderId="0" xfId="0" applyFont="1" applyFill="1"/>
    <xf numFmtId="0" fontId="0" fillId="0" borderId="0" xfId="0" applyFont="1"/>
    <xf numFmtId="6" fontId="0" fillId="0" borderId="0" xfId="0" applyNumberFormat="1" applyFont="1"/>
    <xf numFmtId="6" fontId="0" fillId="4" borderId="0" xfId="0" applyNumberFormat="1" applyFont="1" applyFill="1"/>
    <xf numFmtId="0" fontId="0" fillId="4" borderId="4" xfId="0" applyFont="1" applyFill="1" applyBorder="1"/>
    <xf numFmtId="0" fontId="1" fillId="0" borderId="0" xfId="0" applyFont="1"/>
    <xf numFmtId="0" fontId="1" fillId="4" borderId="4" xfId="0" applyFont="1" applyFill="1" applyBorder="1"/>
    <xf numFmtId="6" fontId="1" fillId="4" borderId="4" xfId="0" applyNumberFormat="1" applyFont="1" applyFill="1" applyBorder="1"/>
    <xf numFmtId="0" fontId="0" fillId="0" borderId="4" xfId="0" applyFont="1" applyBorder="1"/>
    <xf numFmtId="6" fontId="0" fillId="0" borderId="4" xfId="0" applyNumberFormat="1" applyFont="1" applyBorder="1"/>
    <xf numFmtId="0" fontId="1" fillId="0" borderId="4" xfId="0" applyFont="1" applyBorder="1"/>
    <xf numFmtId="6" fontId="1" fillId="0" borderId="4" xfId="0" applyNumberFormat="1" applyFont="1" applyBorder="1"/>
    <xf numFmtId="0" fontId="4" fillId="0" borderId="0" xfId="0" applyFont="1"/>
    <xf numFmtId="165" fontId="0" fillId="0" borderId="0" xfId="0" applyNumberFormat="1"/>
    <xf numFmtId="0" fontId="1" fillId="0" borderId="0" xfId="0" applyFont="1" applyAlignment="1">
      <alignment horizontal="right"/>
    </xf>
    <xf numFmtId="1" fontId="1" fillId="5" borderId="1" xfId="0" applyNumberFormat="1" applyFont="1" applyFill="1" applyBorder="1" applyAlignment="1">
      <alignment horizontal="right"/>
    </xf>
    <xf numFmtId="165" fontId="0" fillId="4" borderId="0" xfId="0" applyNumberFormat="1" applyFont="1" applyFill="1"/>
    <xf numFmtId="165" fontId="0" fillId="0" borderId="4" xfId="0" applyNumberFormat="1" applyFont="1" applyBorder="1"/>
    <xf numFmtId="165" fontId="0" fillId="0" borderId="0" xfId="0" applyNumberFormat="1" applyFont="1"/>
    <xf numFmtId="0" fontId="0" fillId="0" borderId="0" xfId="0" applyNumberFormat="1" applyFont="1"/>
    <xf numFmtId="0" fontId="0" fillId="4" borderId="0" xfId="0" applyNumberFormat="1" applyFont="1" applyFill="1"/>
    <xf numFmtId="6" fontId="0" fillId="0" borderId="0" xfId="1" applyNumberFormat="1" applyFont="1"/>
    <xf numFmtId="6" fontId="0" fillId="4" borderId="0" xfId="1" applyNumberFormat="1" applyFont="1" applyFill="1"/>
    <xf numFmtId="0" fontId="3" fillId="3" borderId="5" xfId="0" applyFont="1" applyFill="1" applyBorder="1"/>
    <xf numFmtId="0" fontId="0" fillId="4" borderId="3" xfId="0" applyFont="1" applyFill="1" applyBorder="1"/>
    <xf numFmtId="164" fontId="1" fillId="4" borderId="3" xfId="1" applyNumberFormat="1" applyFont="1" applyFill="1" applyBorder="1" applyAlignment="1">
      <alignment horizontal="right"/>
    </xf>
    <xf numFmtId="6" fontId="1" fillId="4" borderId="3" xfId="0" applyNumberFormat="1" applyFont="1" applyFill="1" applyBorder="1"/>
    <xf numFmtId="0" fontId="3" fillId="3" borderId="5" xfId="0" applyFont="1" applyFill="1" applyBorder="1" applyAlignment="1">
      <alignment horizontal="right"/>
    </xf>
    <xf numFmtId="0" fontId="0" fillId="4" borderId="5" xfId="0" applyFont="1" applyFill="1" applyBorder="1"/>
    <xf numFmtId="6" fontId="0" fillId="4" borderId="5" xfId="1" applyNumberFormat="1" applyFont="1" applyFill="1" applyBorder="1"/>
    <xf numFmtId="0" fontId="3" fillId="3" borderId="5" xfId="0" applyFont="1" applyFill="1" applyBorder="1" applyAlignment="1">
      <alignment wrapText="1"/>
    </xf>
    <xf numFmtId="0" fontId="0" fillId="4" borderId="5" xfId="0" applyFont="1" applyFill="1" applyBorder="1" applyAlignment="1">
      <alignment horizontal="left" vertical="center"/>
    </xf>
    <xf numFmtId="0" fontId="0" fillId="4" borderId="5" xfId="0" applyFont="1" applyFill="1" applyBorder="1" applyAlignment="1">
      <alignment wrapText="1"/>
    </xf>
    <xf numFmtId="6" fontId="0" fillId="4" borderId="5" xfId="0" applyNumberFormat="1" applyFont="1" applyFill="1" applyBorder="1"/>
    <xf numFmtId="6" fontId="0" fillId="4" borderId="3" xfId="0" applyNumberFormat="1" applyFont="1" applyFill="1" applyBorder="1"/>
    <xf numFmtId="0" fontId="1" fillId="4" borderId="5" xfId="0" applyFont="1" applyFill="1" applyBorder="1"/>
    <xf numFmtId="6" fontId="0" fillId="0" borderId="0" xfId="1" applyNumberFormat="1" applyFont="1" applyFill="1" applyBorder="1"/>
    <xf numFmtId="0" fontId="4" fillId="2" borderId="6" xfId="0" applyFont="1" applyFill="1" applyBorder="1"/>
    <xf numFmtId="0" fontId="4" fillId="2" borderId="7" xfId="0" applyFont="1" applyFill="1" applyBorder="1"/>
    <xf numFmtId="6" fontId="4" fillId="2" borderId="7" xfId="0" applyNumberFormat="1" applyFont="1" applyFill="1" applyBorder="1"/>
    <xf numFmtId="0" fontId="0" fillId="0" borderId="0" xfId="0" applyFont="1" applyBorder="1"/>
    <xf numFmtId="165" fontId="0" fillId="0" borderId="0" xfId="0" applyNumberFormat="1" applyFont="1" applyBorder="1"/>
    <xf numFmtId="0" fontId="9" fillId="2" borderId="6" xfId="0" applyFont="1" applyFill="1" applyBorder="1"/>
    <xf numFmtId="0" fontId="9" fillId="0" borderId="0" xfId="0" applyFont="1"/>
    <xf numFmtId="0" fontId="9" fillId="2" borderId="7" xfId="0" applyFont="1" applyFill="1" applyBorder="1"/>
    <xf numFmtId="6" fontId="9" fillId="2" borderId="7" xfId="0" applyNumberFormat="1" applyFont="1" applyFill="1" applyBorder="1"/>
    <xf numFmtId="6" fontId="9" fillId="2" borderId="8" xfId="0" applyNumberFormat="1" applyFont="1" applyFill="1" applyBorder="1"/>
    <xf numFmtId="0" fontId="1" fillId="4" borderId="0" xfId="0" applyFont="1" applyFill="1"/>
    <xf numFmtId="0" fontId="3" fillId="3" borderId="3" xfId="0" applyFont="1" applyFill="1" applyBorder="1"/>
    <xf numFmtId="6" fontId="0" fillId="4" borderId="4" xfId="0" applyNumberFormat="1" applyFont="1" applyFill="1" applyBorder="1"/>
    <xf numFmtId="6" fontId="0" fillId="4" borderId="4" xfId="1" applyNumberFormat="1" applyFont="1" applyFill="1" applyBorder="1"/>
    <xf numFmtId="6" fontId="0" fillId="4" borderId="3" xfId="1" applyNumberFormat="1" applyFont="1" applyFill="1" applyBorder="1"/>
    <xf numFmtId="0" fontId="0" fillId="4" borderId="4" xfId="1" applyNumberFormat="1" applyFont="1" applyFill="1" applyBorder="1"/>
    <xf numFmtId="0" fontId="3" fillId="3" borderId="3" xfId="0" applyFont="1" applyFill="1" applyBorder="1" applyAlignment="1">
      <alignment wrapText="1"/>
    </xf>
    <xf numFmtId="6" fontId="1" fillId="0" borderId="4" xfId="1" applyNumberFormat="1" applyFont="1" applyBorder="1"/>
    <xf numFmtId="6" fontId="1" fillId="4" borderId="5" xfId="1" applyNumberFormat="1" applyFont="1" applyFill="1" applyBorder="1"/>
    <xf numFmtId="165" fontId="0" fillId="0" borderId="0" xfId="0" applyNumberFormat="1" applyFont="1" applyFill="1"/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wrapText="1"/>
    </xf>
    <xf numFmtId="0" fontId="0" fillId="7" borderId="4" xfId="0" applyFont="1" applyFill="1" applyBorder="1"/>
    <xf numFmtId="165" fontId="0" fillId="7" borderId="4" xfId="0" applyNumberFormat="1" applyFont="1" applyFill="1" applyBorder="1"/>
    <xf numFmtId="0" fontId="0" fillId="6" borderId="0" xfId="0" applyFont="1" applyFill="1"/>
    <xf numFmtId="165" fontId="0" fillId="6" borderId="0" xfId="0" applyNumberFormat="1" applyFont="1" applyFill="1"/>
    <xf numFmtId="0" fontId="0" fillId="6" borderId="4" xfId="0" applyFont="1" applyFill="1" applyBorder="1"/>
    <xf numFmtId="165" fontId="0" fillId="6" borderId="4" xfId="0" applyNumberFormat="1" applyFont="1" applyFill="1" applyBorder="1"/>
    <xf numFmtId="0" fontId="1" fillId="0" borderId="9" xfId="0" applyFont="1" applyBorder="1"/>
    <xf numFmtId="165" fontId="1" fillId="0" borderId="9" xfId="0" applyNumberFormat="1" applyFont="1" applyBorder="1"/>
    <xf numFmtId="6" fontId="1" fillId="0" borderId="9" xfId="0" applyNumberFormat="1" applyFont="1" applyBorder="1"/>
    <xf numFmtId="0" fontId="1" fillId="0" borderId="9" xfId="0" applyFont="1" applyFill="1" applyBorder="1"/>
    <xf numFmtId="165" fontId="1" fillId="0" borderId="9" xfId="0" applyNumberFormat="1" applyFont="1" applyFill="1" applyBorder="1"/>
    <xf numFmtId="0" fontId="1" fillId="6" borderId="9" xfId="0" applyFont="1" applyFill="1" applyBorder="1"/>
    <xf numFmtId="165" fontId="1" fillId="6" borderId="9" xfId="0" applyNumberFormat="1" applyFont="1" applyFill="1" applyBorder="1"/>
    <xf numFmtId="164" fontId="3" fillId="3" borderId="5" xfId="1" applyNumberFormat="1" applyFont="1" applyFill="1" applyBorder="1"/>
    <xf numFmtId="8" fontId="3" fillId="3" borderId="5" xfId="0" applyNumberFormat="1" applyFont="1" applyFill="1" applyBorder="1" applyAlignment="1">
      <alignment wrapText="1"/>
    </xf>
    <xf numFmtId="0" fontId="0" fillId="4" borderId="3" xfId="0" applyFont="1" applyFill="1" applyBorder="1" applyAlignment="1">
      <alignment wrapText="1"/>
    </xf>
    <xf numFmtId="6" fontId="0" fillId="4" borderId="4" xfId="1" applyNumberFormat="1" applyFont="1" applyFill="1" applyBorder="1" applyAlignment="1">
      <alignment wrapText="1"/>
    </xf>
    <xf numFmtId="8" fontId="0" fillId="4" borderId="4" xfId="1" applyNumberFormat="1" applyFont="1" applyFill="1" applyBorder="1"/>
    <xf numFmtId="6" fontId="0" fillId="4" borderId="0" xfId="1" applyNumberFormat="1" applyFont="1" applyFill="1" applyBorder="1"/>
    <xf numFmtId="6" fontId="0" fillId="0" borderId="0" xfId="1" applyNumberFormat="1" applyFont="1" applyBorder="1"/>
    <xf numFmtId="2" fontId="0" fillId="0" borderId="0" xfId="0" applyNumberFormat="1"/>
    <xf numFmtId="0" fontId="1" fillId="4" borderId="3" xfId="0" applyFont="1" applyFill="1" applyBorder="1"/>
    <xf numFmtId="8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1155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O81"/>
  <sheetViews>
    <sheetView tabSelected="1" zoomScale="80" zoomScaleNormal="80" workbookViewId="0">
      <selection activeCell="N59" sqref="N59"/>
    </sheetView>
  </sheetViews>
  <sheetFormatPr defaultRowHeight="15" x14ac:dyDescent="0.25"/>
  <cols>
    <col min="2" max="2" width="23.85546875" bestFit="1" customWidth="1"/>
    <col min="3" max="3" width="40.5703125" bestFit="1" customWidth="1"/>
    <col min="4" max="4" width="17.7109375" customWidth="1"/>
    <col min="5" max="6" width="13.5703125" bestFit="1" customWidth="1"/>
    <col min="7" max="7" width="15.7109375" customWidth="1"/>
    <col min="8" max="8" width="14.140625" customWidth="1"/>
    <col min="9" max="9" width="16.28515625" bestFit="1" customWidth="1"/>
    <col min="10" max="10" width="11.42578125" bestFit="1" customWidth="1"/>
    <col min="11" max="11" width="11.5703125" bestFit="1" customWidth="1"/>
    <col min="12" max="12" width="11.42578125" bestFit="1" customWidth="1"/>
    <col min="13" max="13" width="12.7109375" bestFit="1" customWidth="1"/>
    <col min="14" max="14" width="10.5703125" customWidth="1"/>
  </cols>
  <sheetData>
    <row r="2" spans="2:14" ht="19.5" thickBot="1" x14ac:dyDescent="0.35">
      <c r="B2" s="16" t="s">
        <v>76</v>
      </c>
      <c r="K2" s="5" t="s">
        <v>76</v>
      </c>
      <c r="M2" s="1">
        <f>H4</f>
        <v>5000</v>
      </c>
      <c r="N2" s="1">
        <f>I4</f>
        <v>5000</v>
      </c>
    </row>
    <row r="3" spans="2:14" ht="30.75" thickBot="1" x14ac:dyDescent="0.3">
      <c r="B3" s="27" t="s">
        <v>0</v>
      </c>
      <c r="C3" s="27" t="s">
        <v>10</v>
      </c>
      <c r="D3" s="27" t="s">
        <v>18</v>
      </c>
      <c r="E3" s="34" t="s">
        <v>73</v>
      </c>
      <c r="F3" s="34" t="s">
        <v>72</v>
      </c>
      <c r="G3" s="31" t="s">
        <v>69</v>
      </c>
      <c r="H3" s="27" t="s">
        <v>28</v>
      </c>
      <c r="I3" s="27" t="s">
        <v>30</v>
      </c>
      <c r="K3" s="5" t="s">
        <v>7</v>
      </c>
      <c r="M3" s="1">
        <f>H13</f>
        <v>10931.389366768122</v>
      </c>
      <c r="N3" s="1">
        <f>I13</f>
        <v>69960.891947315977</v>
      </c>
    </row>
    <row r="4" spans="2:14" x14ac:dyDescent="0.25">
      <c r="B4" s="39" t="s">
        <v>78</v>
      </c>
      <c r="C4" s="39" t="s">
        <v>79</v>
      </c>
      <c r="D4" s="59" t="s">
        <v>80</v>
      </c>
      <c r="E4" s="59" t="s">
        <v>80</v>
      </c>
      <c r="F4" s="59" t="s">
        <v>80</v>
      </c>
      <c r="G4" s="39" t="s">
        <v>80</v>
      </c>
      <c r="H4" s="59">
        <v>5000</v>
      </c>
      <c r="I4" s="59">
        <v>5000</v>
      </c>
      <c r="K4" s="5" t="s">
        <v>20</v>
      </c>
      <c r="M4" s="1">
        <f>H17</f>
        <v>1265</v>
      </c>
      <c r="N4" s="1">
        <f>I17</f>
        <v>8096</v>
      </c>
    </row>
    <row r="5" spans="2:14" x14ac:dyDescent="0.25">
      <c r="K5" s="5" t="s">
        <v>22</v>
      </c>
      <c r="M5" s="1">
        <f>H28</f>
        <v>12829.377341195313</v>
      </c>
      <c r="N5" s="1">
        <f>I28</f>
        <v>82108.014983650006</v>
      </c>
    </row>
    <row r="6" spans="2:14" ht="19.5" thickBot="1" x14ac:dyDescent="0.35">
      <c r="B6" s="16" t="s">
        <v>7</v>
      </c>
      <c r="D6" s="18" t="s">
        <v>29</v>
      </c>
      <c r="E6" s="19">
        <v>5000</v>
      </c>
      <c r="F6" s="19">
        <v>32000</v>
      </c>
      <c r="G6" s="18" t="s">
        <v>70</v>
      </c>
      <c r="H6" s="19">
        <v>8</v>
      </c>
      <c r="I6" s="19">
        <v>8</v>
      </c>
      <c r="K6" s="5" t="s">
        <v>81</v>
      </c>
      <c r="M6" s="1">
        <f>H32</f>
        <v>4790.0428159505764</v>
      </c>
      <c r="N6" s="1">
        <f>I32</f>
        <v>30656.274022083686</v>
      </c>
    </row>
    <row r="7" spans="2:14" ht="30.75" thickBot="1" x14ac:dyDescent="0.3">
      <c r="B7" s="27" t="s">
        <v>0</v>
      </c>
      <c r="C7" s="27" t="s">
        <v>10</v>
      </c>
      <c r="D7" s="27" t="s">
        <v>18</v>
      </c>
      <c r="E7" s="34" t="s">
        <v>73</v>
      </c>
      <c r="F7" s="34" t="s">
        <v>72</v>
      </c>
      <c r="G7" s="31" t="s">
        <v>69</v>
      </c>
      <c r="H7" s="27" t="s">
        <v>28</v>
      </c>
      <c r="I7" s="27" t="s">
        <v>30</v>
      </c>
      <c r="K7" s="5" t="s">
        <v>40</v>
      </c>
      <c r="M7" s="1">
        <f>Construction_Breakdown!$H$36:$H$36</f>
        <v>3629.8372655003859</v>
      </c>
      <c r="N7" s="1">
        <f>Construction_Breakdown!$I$36:$I$36</f>
        <v>28294.079718502442</v>
      </c>
    </row>
    <row r="8" spans="2:14" x14ac:dyDescent="0.25">
      <c r="B8" s="32" t="s">
        <v>8</v>
      </c>
      <c r="C8" s="32" t="s">
        <v>19</v>
      </c>
      <c r="D8" s="33">
        <f>AVERAGE(1035, 1550)</f>
        <v>1292.5</v>
      </c>
      <c r="E8" s="33">
        <f>D8*$E6/1000</f>
        <v>6462.5</v>
      </c>
      <c r="F8" s="33">
        <f>D8*$F$6/1000</f>
        <v>41360</v>
      </c>
      <c r="G8" s="32">
        <v>0.98</v>
      </c>
      <c r="H8" s="33">
        <f>Construction_Breakdown!$E8*G8^$H$6</f>
        <v>5498.0560334347883</v>
      </c>
      <c r="I8" s="33">
        <f>Construction_Breakdown!$F8*G8^$I$6</f>
        <v>35187.558613982641</v>
      </c>
      <c r="K8" s="5" t="s">
        <v>53</v>
      </c>
      <c r="M8" s="1">
        <f>H43</f>
        <v>854.00272433593227</v>
      </c>
      <c r="N8" s="1">
        <f>I43</f>
        <v>6656.8331841863273</v>
      </c>
    </row>
    <row r="9" spans="2:14" x14ac:dyDescent="0.25">
      <c r="B9" s="5" t="s">
        <v>9</v>
      </c>
      <c r="C9" s="5" t="s">
        <v>11</v>
      </c>
      <c r="D9" s="25">
        <f>Construction_Breakdown!$E9*1000/5000</f>
        <v>166.66666666666669</v>
      </c>
      <c r="E9" s="25">
        <f>50000*$E$6/300/1000</f>
        <v>833.33333333333337</v>
      </c>
      <c r="F9" s="25">
        <f t="shared" ref="F9:F12" si="0">D9*$F$6/1000</f>
        <v>5333.3333333333339</v>
      </c>
      <c r="G9" s="5">
        <v>1</v>
      </c>
      <c r="H9" s="25">
        <f>Construction_Breakdown!$E9*G9^$H$6</f>
        <v>833.33333333333337</v>
      </c>
      <c r="I9" s="25">
        <f>Construction_Breakdown!$F9*G9^$I$6</f>
        <v>5333.3333333333339</v>
      </c>
      <c r="K9" s="5" t="s">
        <v>51</v>
      </c>
      <c r="M9" s="1">
        <f>H49</f>
        <v>2209.9293376627174</v>
      </c>
      <c r="N9" s="1">
        <f>I49</f>
        <v>17226.093700227226</v>
      </c>
    </row>
    <row r="10" spans="2:14" x14ac:dyDescent="0.25">
      <c r="B10" s="4" t="s">
        <v>16</v>
      </c>
      <c r="C10" s="4" t="s">
        <v>13</v>
      </c>
      <c r="D10" s="26">
        <f>1.5*8*30</f>
        <v>360</v>
      </c>
      <c r="E10" s="26">
        <f>D10*$E$6/1000</f>
        <v>1800</v>
      </c>
      <c r="F10" s="26">
        <f t="shared" si="0"/>
        <v>11520</v>
      </c>
      <c r="G10" s="4">
        <v>1</v>
      </c>
      <c r="H10" s="26">
        <f>Construction_Breakdown!$E10*G10^$H$6</f>
        <v>1800</v>
      </c>
      <c r="I10" s="26">
        <f>Construction_Breakdown!$F10*G10^$I$6</f>
        <v>11520</v>
      </c>
      <c r="K10" s="5" t="s">
        <v>86</v>
      </c>
      <c r="M10" s="1">
        <f>H53</f>
        <v>362.98372655003863</v>
      </c>
      <c r="N10" s="1">
        <f>I53</f>
        <v>2829.4079718502444</v>
      </c>
    </row>
    <row r="11" spans="2:14" x14ac:dyDescent="0.25">
      <c r="B11" s="5" t="s">
        <v>14</v>
      </c>
      <c r="C11" s="5" t="s">
        <v>44</v>
      </c>
      <c r="D11" s="25">
        <v>500</v>
      </c>
      <c r="E11" s="25">
        <f>D11*$E$6/1000</f>
        <v>2500</v>
      </c>
      <c r="F11" s="25">
        <f t="shared" si="0"/>
        <v>16000</v>
      </c>
      <c r="G11" s="5">
        <v>1</v>
      </c>
      <c r="H11" s="25">
        <f>Construction_Breakdown!$E11*G11^$H$6</f>
        <v>2500</v>
      </c>
      <c r="I11" s="25">
        <f>Construction_Breakdown!$F11*G11^$I$6</f>
        <v>16000</v>
      </c>
      <c r="K11" s="5" t="s">
        <v>54</v>
      </c>
      <c r="M11" s="1">
        <f>H60</f>
        <v>5077.7550819753997</v>
      </c>
      <c r="N11" s="1">
        <f>I60</f>
        <v>30417.080290216971</v>
      </c>
    </row>
    <row r="12" spans="2:14" x14ac:dyDescent="0.25">
      <c r="B12" s="4" t="s">
        <v>15</v>
      </c>
      <c r="C12" s="4" t="s">
        <v>17</v>
      </c>
      <c r="D12" s="26">
        <v>60</v>
      </c>
      <c r="E12" s="26">
        <f>D12*$E$6/1000</f>
        <v>300</v>
      </c>
      <c r="F12" s="26">
        <f t="shared" si="0"/>
        <v>1920</v>
      </c>
      <c r="G12" s="4">
        <v>1</v>
      </c>
      <c r="H12" s="26">
        <f>Construction_Breakdown!$E12*G12^$H$6</f>
        <v>300</v>
      </c>
      <c r="I12" s="26">
        <f>Construction_Breakdown!$F12*G12^$I$6</f>
        <v>1920</v>
      </c>
      <c r="K12" s="5" t="s">
        <v>42</v>
      </c>
      <c r="M12" s="1">
        <f>H68</f>
        <v>4678.2176502160455</v>
      </c>
      <c r="N12" s="1">
        <f>I68</f>
        <v>28023.746633004896</v>
      </c>
    </row>
    <row r="13" spans="2:14" ht="15.75" thickBot="1" x14ac:dyDescent="0.3">
      <c r="B13" s="14" t="s">
        <v>6</v>
      </c>
      <c r="C13" s="14"/>
      <c r="D13" s="58">
        <f>Construction_Breakdown!$E13/$E$6*1000</f>
        <v>2379.1666666666665</v>
      </c>
      <c r="E13" s="58">
        <f>SUM(E8:E12)</f>
        <v>11895.833333333332</v>
      </c>
      <c r="F13" s="58">
        <f>SUM(F8:F12)</f>
        <v>76133.333333333343</v>
      </c>
      <c r="G13" s="14"/>
      <c r="H13" s="15">
        <f>SUM(H8:H12)</f>
        <v>10931.389366768122</v>
      </c>
      <c r="I13" s="15">
        <f>SUM(I8:I12)</f>
        <v>69960.891947315977</v>
      </c>
      <c r="J13" s="83"/>
      <c r="K13" s="5" t="s">
        <v>46</v>
      </c>
      <c r="M13" s="1">
        <f>H75</f>
        <v>3415.917090863134</v>
      </c>
      <c r="N13" s="1">
        <f>I75</f>
        <v>20462.236311147019</v>
      </c>
    </row>
    <row r="14" spans="2:14" x14ac:dyDescent="0.25">
      <c r="L14" s="17"/>
      <c r="N14" s="1"/>
    </row>
    <row r="15" spans="2:14" ht="19.5" thickBot="1" x14ac:dyDescent="0.35">
      <c r="B15" s="16" t="s">
        <v>20</v>
      </c>
      <c r="D15" s="18" t="s">
        <v>29</v>
      </c>
      <c r="E15" s="19">
        <f>E6</f>
        <v>5000</v>
      </c>
      <c r="F15" s="19">
        <f>F6</f>
        <v>32000</v>
      </c>
    </row>
    <row r="16" spans="2:14" ht="30.75" thickBot="1" x14ac:dyDescent="0.3">
      <c r="B16" s="27" t="s">
        <v>5</v>
      </c>
      <c r="C16" s="27" t="s">
        <v>10</v>
      </c>
      <c r="D16" s="76" t="s">
        <v>18</v>
      </c>
      <c r="E16" s="77" t="s">
        <v>71</v>
      </c>
      <c r="F16" s="77" t="s">
        <v>72</v>
      </c>
      <c r="G16" s="31" t="s">
        <v>69</v>
      </c>
      <c r="H16" s="27" t="s">
        <v>28</v>
      </c>
      <c r="I16" s="27" t="s">
        <v>30</v>
      </c>
    </row>
    <row r="17" spans="2:15" ht="15.75" thickBot="1" x14ac:dyDescent="0.3">
      <c r="B17" s="28"/>
      <c r="C17" s="28" t="s">
        <v>21</v>
      </c>
      <c r="D17" s="29" t="s">
        <v>43</v>
      </c>
      <c r="E17" s="30">
        <f>Construction_Breakdown!$D$17:$D$17*$E$15/1000</f>
        <v>1265</v>
      </c>
      <c r="F17" s="30">
        <f>Construction_Breakdown!$D$17:$D$17*$F$15/1000</f>
        <v>8096</v>
      </c>
      <c r="G17" s="28">
        <v>1</v>
      </c>
      <c r="H17" s="55">
        <f>Construction_Breakdown!$E17*G17^$H$6</f>
        <v>1265</v>
      </c>
      <c r="I17" s="55">
        <f>Construction_Breakdown!$F17*G17^$I$6</f>
        <v>8096</v>
      </c>
      <c r="J17" s="83"/>
      <c r="O17" s="85"/>
    </row>
    <row r="18" spans="2:15" x14ac:dyDescent="0.25">
      <c r="D18" s="3"/>
      <c r="E18" s="6"/>
      <c r="F18" s="6"/>
    </row>
    <row r="19" spans="2:15" ht="19.5" thickBot="1" x14ac:dyDescent="0.35">
      <c r="B19" s="16" t="s">
        <v>22</v>
      </c>
      <c r="D19" s="18" t="s">
        <v>29</v>
      </c>
      <c r="E19" s="19">
        <f>E6</f>
        <v>5000</v>
      </c>
      <c r="F19" s="19">
        <f>F6</f>
        <v>32000</v>
      </c>
    </row>
    <row r="20" spans="2:15" ht="30.75" thickBot="1" x14ac:dyDescent="0.3">
      <c r="B20" s="27" t="s">
        <v>0</v>
      </c>
      <c r="C20" s="27" t="s">
        <v>10</v>
      </c>
      <c r="D20" s="27" t="s">
        <v>27</v>
      </c>
      <c r="E20" s="77" t="s">
        <v>71</v>
      </c>
      <c r="F20" s="77" t="s">
        <v>72</v>
      </c>
      <c r="G20" s="31" t="s">
        <v>69</v>
      </c>
      <c r="H20" s="27" t="s">
        <v>28</v>
      </c>
      <c r="I20" s="27" t="s">
        <v>30</v>
      </c>
    </row>
    <row r="21" spans="2:15" x14ac:dyDescent="0.25">
      <c r="B21" s="35" t="s">
        <v>23</v>
      </c>
      <c r="C21" s="36" t="s">
        <v>33</v>
      </c>
      <c r="D21" s="37">
        <v>35</v>
      </c>
      <c r="E21" s="37">
        <f>D21*$E$19/1000</f>
        <v>175</v>
      </c>
      <c r="F21" s="37">
        <f>D21*$F$19/1000</f>
        <v>1120</v>
      </c>
      <c r="G21" s="32">
        <v>1</v>
      </c>
      <c r="H21" s="33">
        <f>Construction_Breakdown!$E21*G21^$H$6</f>
        <v>175</v>
      </c>
      <c r="I21" s="33">
        <f>Construction_Breakdown!$F21*G21^$I$6</f>
        <v>1120</v>
      </c>
    </row>
    <row r="22" spans="2:15" x14ac:dyDescent="0.25">
      <c r="B22" s="5" t="s">
        <v>31</v>
      </c>
      <c r="C22" s="5" t="s">
        <v>32</v>
      </c>
      <c r="D22" s="6">
        <v>100</v>
      </c>
      <c r="E22" s="6">
        <f>D22*$E$19/1000</f>
        <v>500</v>
      </c>
      <c r="F22" s="6">
        <f t="shared" ref="F22:F27" si="1">D22*$F$19/1000</f>
        <v>3200</v>
      </c>
      <c r="G22" s="5">
        <v>1</v>
      </c>
      <c r="H22" s="82">
        <f>Construction_Breakdown!$E22*G22^$H$6</f>
        <v>500</v>
      </c>
      <c r="I22" s="82">
        <f>Construction_Breakdown!$F22*G22^$I$6</f>
        <v>3200</v>
      </c>
    </row>
    <row r="23" spans="2:15" x14ac:dyDescent="0.25">
      <c r="B23" s="4" t="s">
        <v>24</v>
      </c>
      <c r="C23" s="4" t="s">
        <v>39</v>
      </c>
      <c r="D23" s="7">
        <v>1000</v>
      </c>
      <c r="E23" s="7">
        <f t="shared" ref="E23:E27" si="2">D23*$E$19/1000</f>
        <v>5000</v>
      </c>
      <c r="F23" s="7">
        <f t="shared" si="1"/>
        <v>32000</v>
      </c>
      <c r="G23" s="4">
        <v>0.95</v>
      </c>
      <c r="H23" s="81">
        <f>Construction_Breakdown!$E23*G23^$H$6</f>
        <v>3317.1021564453122</v>
      </c>
      <c r="I23" s="81">
        <f>Construction_Breakdown!$F23*G23^$I$6</f>
        <v>21229.453801249998</v>
      </c>
    </row>
    <row r="24" spans="2:15" x14ac:dyDescent="0.25">
      <c r="B24" s="5" t="s">
        <v>34</v>
      </c>
      <c r="C24" s="5" t="s">
        <v>38</v>
      </c>
      <c r="D24" s="6">
        <v>1295</v>
      </c>
      <c r="E24" s="6">
        <f t="shared" si="2"/>
        <v>6475</v>
      </c>
      <c r="F24" s="6">
        <f t="shared" si="1"/>
        <v>41440</v>
      </c>
      <c r="G24" s="5">
        <v>0.9</v>
      </c>
      <c r="H24" s="82">
        <f>Construction_Breakdown!$E24*G24^$H$6</f>
        <v>2787.2751847500008</v>
      </c>
      <c r="I24" s="82">
        <f>Construction_Breakdown!$F24*G24^$I$6</f>
        <v>17838.561182400008</v>
      </c>
    </row>
    <row r="25" spans="2:15" x14ac:dyDescent="0.25">
      <c r="B25" s="4" t="s">
        <v>25</v>
      </c>
      <c r="C25" s="4" t="s">
        <v>35</v>
      </c>
      <c r="D25" s="7">
        <v>850</v>
      </c>
      <c r="E25" s="7">
        <f t="shared" si="2"/>
        <v>4250</v>
      </c>
      <c r="F25" s="7">
        <f t="shared" si="1"/>
        <v>27200</v>
      </c>
      <c r="G25" s="4">
        <v>1</v>
      </c>
      <c r="H25" s="81">
        <f>Construction_Breakdown!$E25*G25^$H$6</f>
        <v>4250</v>
      </c>
      <c r="I25" s="81">
        <f>Construction_Breakdown!$F25*G25^$I$6</f>
        <v>27200</v>
      </c>
    </row>
    <row r="26" spans="2:15" x14ac:dyDescent="0.25">
      <c r="B26" s="5" t="s">
        <v>26</v>
      </c>
      <c r="C26" s="5" t="s">
        <v>36</v>
      </c>
      <c r="D26" s="6">
        <v>120</v>
      </c>
      <c r="E26" s="6">
        <f t="shared" si="2"/>
        <v>600</v>
      </c>
      <c r="F26" s="6">
        <f t="shared" si="1"/>
        <v>3840</v>
      </c>
      <c r="G26" s="5">
        <v>1</v>
      </c>
      <c r="H26" s="82">
        <f>Construction_Breakdown!$E26*G26^$H$6</f>
        <v>600</v>
      </c>
      <c r="I26" s="82">
        <f>Construction_Breakdown!$F26*G26^$I$6</f>
        <v>3840</v>
      </c>
    </row>
    <row r="27" spans="2:15" x14ac:dyDescent="0.25">
      <c r="B27" s="4" t="s">
        <v>41</v>
      </c>
      <c r="C27" s="4" t="s">
        <v>37</v>
      </c>
      <c r="D27" s="7">
        <f>8*30</f>
        <v>240</v>
      </c>
      <c r="E27" s="7">
        <f t="shared" si="2"/>
        <v>1200</v>
      </c>
      <c r="F27" s="7">
        <f t="shared" si="1"/>
        <v>7680</v>
      </c>
      <c r="G27" s="4">
        <v>1</v>
      </c>
      <c r="H27" s="81">
        <f>Construction_Breakdown!$E27*G27^$H$6</f>
        <v>1200</v>
      </c>
      <c r="I27" s="81">
        <f>Construction_Breakdown!$F27*G27^$I$6</f>
        <v>7680</v>
      </c>
    </row>
    <row r="28" spans="2:15" ht="15.75" thickBot="1" x14ac:dyDescent="0.3">
      <c r="B28" s="14" t="s">
        <v>6</v>
      </c>
      <c r="C28" s="14"/>
      <c r="D28" s="15">
        <f>SUM(D21:D27)</f>
        <v>3640</v>
      </c>
      <c r="E28" s="15">
        <f>SUM(E21:E27)</f>
        <v>18200</v>
      </c>
      <c r="F28" s="15">
        <f>SUM(F21:F27)</f>
        <v>116480</v>
      </c>
      <c r="G28" s="12"/>
      <c r="H28" s="13">
        <f>SUM(H21:H27)</f>
        <v>12829.377341195313</v>
      </c>
      <c r="I28" s="13">
        <f>SUM(I21:I27)</f>
        <v>82108.014983650006</v>
      </c>
      <c r="J28" s="83"/>
    </row>
    <row r="30" spans="2:15" ht="19.5" thickBot="1" x14ac:dyDescent="0.35">
      <c r="B30" s="16" t="s">
        <v>81</v>
      </c>
      <c r="D30" s="18" t="s">
        <v>83</v>
      </c>
      <c r="E30" s="19">
        <f>E6/6</f>
        <v>833.33333333333337</v>
      </c>
      <c r="F30" s="19">
        <f>F6/6</f>
        <v>5333.333333333333</v>
      </c>
    </row>
    <row r="31" spans="2:15" ht="30.75" thickBot="1" x14ac:dyDescent="0.3">
      <c r="B31" s="52" t="s">
        <v>0</v>
      </c>
      <c r="C31" s="52" t="s">
        <v>10</v>
      </c>
      <c r="D31" s="52" t="s">
        <v>27</v>
      </c>
      <c r="E31" s="57" t="s">
        <v>71</v>
      </c>
      <c r="F31" s="57" t="s">
        <v>72</v>
      </c>
      <c r="G31" s="52" t="s">
        <v>69</v>
      </c>
      <c r="H31" s="52" t="s">
        <v>28</v>
      </c>
      <c r="I31" s="52" t="s">
        <v>30</v>
      </c>
    </row>
    <row r="32" spans="2:15" ht="40.5" thickBot="1" x14ac:dyDescent="0.3">
      <c r="B32" s="54" t="s">
        <v>79</v>
      </c>
      <c r="C32" s="79" t="s">
        <v>84</v>
      </c>
      <c r="D32" s="54">
        <v>11200</v>
      </c>
      <c r="E32" s="80">
        <f>D32*E30/1000</f>
        <v>9333.3333333333339</v>
      </c>
      <c r="F32" s="80">
        <f>D32*F30/1000</f>
        <v>59733.333333333328</v>
      </c>
      <c r="G32" s="56">
        <v>0.92</v>
      </c>
      <c r="H32" s="54">
        <f>Construction_Breakdown!$E32*G32^$H$6</f>
        <v>4790.0428159505764</v>
      </c>
      <c r="I32" s="54">
        <f>Construction_Breakdown!$F32*G32^$I$6</f>
        <v>30656.274022083686</v>
      </c>
      <c r="J32" s="83"/>
    </row>
    <row r="33" spans="2:10" x14ac:dyDescent="0.25">
      <c r="B33" s="5"/>
      <c r="C33" s="5"/>
      <c r="D33" s="6"/>
      <c r="E33" s="6"/>
      <c r="F33" s="6"/>
      <c r="G33" s="5"/>
      <c r="H33" s="40"/>
      <c r="I33" s="40"/>
    </row>
    <row r="34" spans="2:10" ht="20.25" thickBot="1" x14ac:dyDescent="0.4">
      <c r="B34" s="16" t="s">
        <v>40</v>
      </c>
      <c r="D34" s="18" t="s">
        <v>52</v>
      </c>
      <c r="E34" s="19">
        <f>E$6*LN(E$6)/LN(512)</f>
        <v>6826.5068775274731</v>
      </c>
      <c r="F34" s="19">
        <f>F$6*LN(F$6)/LN(512)</f>
        <v>53211.677456576304</v>
      </c>
    </row>
    <row r="35" spans="2:10" ht="30.75" thickBot="1" x14ac:dyDescent="0.3">
      <c r="B35" s="27" t="s">
        <v>5</v>
      </c>
      <c r="C35" s="27" t="s">
        <v>10</v>
      </c>
      <c r="D35" s="27" t="s">
        <v>48</v>
      </c>
      <c r="E35" s="77" t="s">
        <v>71</v>
      </c>
      <c r="F35" s="77" t="s">
        <v>72</v>
      </c>
      <c r="G35" s="31" t="s">
        <v>69</v>
      </c>
      <c r="H35" s="27" t="s">
        <v>28</v>
      </c>
      <c r="I35" s="27" t="s">
        <v>30</v>
      </c>
    </row>
    <row r="36" spans="2:10" ht="30.75" thickBot="1" x14ac:dyDescent="0.3">
      <c r="B36" s="28"/>
      <c r="C36" s="78" t="s">
        <v>82</v>
      </c>
      <c r="D36" s="38">
        <v>625</v>
      </c>
      <c r="E36" s="30">
        <f>D36*E34/1000</f>
        <v>4266.5667984546699</v>
      </c>
      <c r="F36" s="30">
        <f>D36*F34/1000</f>
        <v>33257.298410360192</v>
      </c>
      <c r="G36" s="28">
        <v>0.98</v>
      </c>
      <c r="H36" s="55">
        <f>Construction_Breakdown!$E36*G36^$H$6</f>
        <v>3629.8372655003859</v>
      </c>
      <c r="I36" s="55">
        <f>Construction_Breakdown!$F36*G36^$I$6</f>
        <v>28294.079718502442</v>
      </c>
      <c r="J36" s="83"/>
    </row>
    <row r="38" spans="2:10" ht="20.25" thickBot="1" x14ac:dyDescent="0.4">
      <c r="B38" s="16" t="s">
        <v>53</v>
      </c>
      <c r="D38" s="18" t="s">
        <v>52</v>
      </c>
      <c r="E38" s="19">
        <f>E$6*LN(E$6)/LN(512)</f>
        <v>6826.5068775274731</v>
      </c>
      <c r="F38" s="19">
        <f>F$6*LN(F$6)/LN(512)</f>
        <v>53211.677456576304</v>
      </c>
    </row>
    <row r="39" spans="2:10" ht="30.75" thickBot="1" x14ac:dyDescent="0.3">
      <c r="B39" s="27" t="s">
        <v>5</v>
      </c>
      <c r="C39" s="27" t="s">
        <v>10</v>
      </c>
      <c r="D39" s="27" t="s">
        <v>48</v>
      </c>
      <c r="E39" s="77" t="s">
        <v>71</v>
      </c>
      <c r="F39" s="77" t="s">
        <v>72</v>
      </c>
      <c r="G39" s="31" t="s">
        <v>69</v>
      </c>
      <c r="H39" s="27" t="s">
        <v>28</v>
      </c>
      <c r="I39" s="27" t="s">
        <v>30</v>
      </c>
    </row>
    <row r="40" spans="2:10" x14ac:dyDescent="0.25">
      <c r="B40" s="32" t="s">
        <v>1</v>
      </c>
      <c r="C40" s="32" t="s">
        <v>50</v>
      </c>
      <c r="D40" s="37">
        <v>41</v>
      </c>
      <c r="E40" s="37">
        <f>D40*$E$38/1000</f>
        <v>279.8867819786264</v>
      </c>
      <c r="F40" s="37">
        <f>D40*$F$38/1000</f>
        <v>2181.6787757196284</v>
      </c>
      <c r="G40" s="32">
        <v>0.95</v>
      </c>
      <c r="H40" s="33">
        <f>Construction_Breakdown!$E40*G40^$H$6</f>
        <v>185.68260961236814</v>
      </c>
      <c r="I40" s="33">
        <f>Construction_Breakdown!$F40*G40^$I$6</f>
        <v>1447.3702743221097</v>
      </c>
    </row>
    <row r="41" spans="2:10" x14ac:dyDescent="0.25">
      <c r="B41" s="5" t="s">
        <v>4</v>
      </c>
      <c r="C41" s="5" t="s">
        <v>50</v>
      </c>
      <c r="D41" s="6">
        <v>88</v>
      </c>
      <c r="E41" s="6">
        <f>D41*$E$38/1000</f>
        <v>600.73260522241765</v>
      </c>
      <c r="F41" s="6">
        <f>D41*$F$38/1000</f>
        <v>4682.6276161787146</v>
      </c>
      <c r="G41" s="23">
        <v>1</v>
      </c>
      <c r="H41" s="82">
        <f>Construction_Breakdown!$E41*G41^$H$6</f>
        <v>600.73260522241765</v>
      </c>
      <c r="I41" s="82">
        <f>Construction_Breakdown!$F41*G41^$I$6</f>
        <v>4682.6276161787146</v>
      </c>
    </row>
    <row r="42" spans="2:10" x14ac:dyDescent="0.25">
      <c r="B42" s="4" t="s">
        <v>2</v>
      </c>
      <c r="C42" s="4" t="s">
        <v>50</v>
      </c>
      <c r="D42" s="7">
        <v>23</v>
      </c>
      <c r="E42" s="7">
        <f>D42*$E$38/1000</f>
        <v>157.0096581831319</v>
      </c>
      <c r="F42" s="7">
        <f>D42*$F$38/1000</f>
        <v>1223.868581501255</v>
      </c>
      <c r="G42" s="24">
        <v>0.9</v>
      </c>
      <c r="H42" s="81">
        <f>Construction_Breakdown!$E42*G42^$H$6</f>
        <v>67.587509501146485</v>
      </c>
      <c r="I42" s="81">
        <f>Construction_Breakdown!$F42*G42^$I$6</f>
        <v>526.83529368550307</v>
      </c>
    </row>
    <row r="43" spans="2:10" ht="15.75" thickBot="1" x14ac:dyDescent="0.3">
      <c r="B43" s="14" t="s">
        <v>6</v>
      </c>
      <c r="C43" s="14"/>
      <c r="D43" s="15">
        <f>SUM(D40:D42)</f>
        <v>152</v>
      </c>
      <c r="E43" s="15">
        <f t="shared" ref="E43:F43" si="3">SUM(E40:E42)</f>
        <v>1037.6290453841759</v>
      </c>
      <c r="F43" s="15">
        <f t="shared" si="3"/>
        <v>8088.1749733995975</v>
      </c>
      <c r="G43" s="13"/>
      <c r="H43" s="13">
        <f>SUM(H40:H42)</f>
        <v>854.00272433593227</v>
      </c>
      <c r="I43" s="13">
        <f>SUM(I40:I42)</f>
        <v>6656.8331841863273</v>
      </c>
      <c r="J43" s="83"/>
    </row>
    <row r="44" spans="2:10" x14ac:dyDescent="0.25">
      <c r="D44" s="1"/>
      <c r="E44" s="1"/>
      <c r="F44" s="1"/>
    </row>
    <row r="45" spans="2:10" ht="20.25" thickBot="1" x14ac:dyDescent="0.4">
      <c r="B45" s="16" t="s">
        <v>51</v>
      </c>
      <c r="D45" s="18" t="s">
        <v>52</v>
      </c>
      <c r="E45" s="19">
        <f>E$6*LN(E$6)/LN(512)</f>
        <v>6826.5068775274731</v>
      </c>
      <c r="F45" s="19">
        <f>F$6*LN(F$6)/LN(512)</f>
        <v>53211.677456576304</v>
      </c>
    </row>
    <row r="46" spans="2:10" ht="30.75" thickBot="1" x14ac:dyDescent="0.3">
      <c r="B46" s="27" t="s">
        <v>5</v>
      </c>
      <c r="C46" s="27" t="s">
        <v>10</v>
      </c>
      <c r="D46" s="27" t="s">
        <v>48</v>
      </c>
      <c r="E46" s="77" t="s">
        <v>71</v>
      </c>
      <c r="F46" s="77" t="s">
        <v>72</v>
      </c>
      <c r="G46" s="31" t="s">
        <v>69</v>
      </c>
      <c r="H46" s="27" t="s">
        <v>28</v>
      </c>
      <c r="I46" s="27" t="s">
        <v>30</v>
      </c>
    </row>
    <row r="47" spans="2:10" x14ac:dyDescent="0.25">
      <c r="B47" s="32" t="s">
        <v>49</v>
      </c>
      <c r="C47" s="32" t="s">
        <v>50</v>
      </c>
      <c r="D47" s="37">
        <v>156.25</v>
      </c>
      <c r="E47" s="37">
        <f>D47*$E$45/1000</f>
        <v>1066.6416996136675</v>
      </c>
      <c r="F47" s="37">
        <f>D47*$F$45/1000</f>
        <v>8314.324602590048</v>
      </c>
      <c r="G47" s="32">
        <v>0.95</v>
      </c>
      <c r="H47" s="33">
        <f>Construction_Breakdown!$E47*G47^$H$6</f>
        <v>707.63189638859785</v>
      </c>
      <c r="I47" s="33">
        <f>Construction_Breakdown!$F47*G47^$I$6</f>
        <v>5515.8928137275525</v>
      </c>
    </row>
    <row r="48" spans="2:10" x14ac:dyDescent="0.25">
      <c r="B48" s="5" t="s">
        <v>3</v>
      </c>
      <c r="C48" s="5" t="s">
        <v>50</v>
      </c>
      <c r="D48" s="2">
        <v>428.8</v>
      </c>
      <c r="E48" s="6">
        <f>D48*$E$45/1000</f>
        <v>2927.2061490837805</v>
      </c>
      <c r="F48" s="6">
        <f>D48*$F$45/1000</f>
        <v>22817.16729337992</v>
      </c>
      <c r="G48" s="5">
        <v>0.92</v>
      </c>
      <c r="H48" s="82">
        <f>Construction_Breakdown!$E48*G48^$H$6</f>
        <v>1502.2974412741194</v>
      </c>
      <c r="I48" s="82">
        <f>Construction_Breakdown!$F48*G48^$I$6</f>
        <v>11710.200886499673</v>
      </c>
    </row>
    <row r="49" spans="2:11" ht="15.75" thickBot="1" x14ac:dyDescent="0.3">
      <c r="B49" s="10" t="s">
        <v>6</v>
      </c>
      <c r="C49" s="10"/>
      <c r="D49" s="11">
        <f>SUM(D47:D48)</f>
        <v>585.04999999999995</v>
      </c>
      <c r="E49" s="11">
        <f t="shared" ref="E49:F49" si="4">SUM(E47:E48)</f>
        <v>3993.8478486974482</v>
      </c>
      <c r="F49" s="11">
        <f t="shared" si="4"/>
        <v>31131.491895969968</v>
      </c>
      <c r="G49" s="8"/>
      <c r="H49" s="53">
        <f>SUM(H47:H48)</f>
        <v>2209.9293376627174</v>
      </c>
      <c r="I49" s="53">
        <f>SUM(I47:I48)</f>
        <v>17226.093700227226</v>
      </c>
      <c r="J49" s="83"/>
    </row>
    <row r="50" spans="2:11" x14ac:dyDescent="0.25">
      <c r="B50" s="9"/>
      <c r="C50" s="9"/>
      <c r="D50" s="9"/>
      <c r="E50" s="9"/>
      <c r="F50" s="9"/>
    </row>
    <row r="51" spans="2:11" s="16" customFormat="1" ht="20.25" thickBot="1" x14ac:dyDescent="0.4">
      <c r="B51" s="16" t="s">
        <v>86</v>
      </c>
      <c r="C51"/>
      <c r="D51" s="18" t="s">
        <v>52</v>
      </c>
      <c r="E51" s="19">
        <f>E$6*LN(E$6)/LN(512)</f>
        <v>6826.5068775274731</v>
      </c>
      <c r="F51" s="19">
        <f>F$6*LN(F$6)/LN(512)</f>
        <v>53211.677456576304</v>
      </c>
      <c r="G51"/>
      <c r="H51"/>
      <c r="I51"/>
      <c r="J51"/>
      <c r="K51"/>
    </row>
    <row r="52" spans="2:11" ht="30.75" thickBot="1" x14ac:dyDescent="0.3">
      <c r="B52" s="27" t="s">
        <v>5</v>
      </c>
      <c r="C52" s="27" t="s">
        <v>10</v>
      </c>
      <c r="D52" s="27" t="s">
        <v>48</v>
      </c>
      <c r="E52" s="77" t="s">
        <v>71</v>
      </c>
      <c r="F52" s="77" t="s">
        <v>72</v>
      </c>
      <c r="G52" s="31" t="s">
        <v>69</v>
      </c>
      <c r="H52" s="27" t="s">
        <v>28</v>
      </c>
      <c r="I52" s="27" t="s">
        <v>30</v>
      </c>
    </row>
    <row r="53" spans="2:11" ht="15.75" thickBot="1" x14ac:dyDescent="0.3">
      <c r="B53" s="84" t="s">
        <v>6</v>
      </c>
      <c r="C53" s="28" t="s">
        <v>85</v>
      </c>
      <c r="D53" s="30" t="s">
        <v>5</v>
      </c>
      <c r="E53" s="30" t="s">
        <v>5</v>
      </c>
      <c r="F53" s="30" t="s">
        <v>5</v>
      </c>
      <c r="G53" s="28" t="s">
        <v>5</v>
      </c>
      <c r="H53" s="38">
        <f>0.1*Construction_Breakdown!$H$36:$H$36</f>
        <v>362.98372655003863</v>
      </c>
      <c r="I53" s="38">
        <f>0.1*Construction_Breakdown!$I$36:$I$36</f>
        <v>2829.4079718502444</v>
      </c>
      <c r="J53" s="83"/>
    </row>
    <row r="54" spans="2:11" ht="15.75" thickBot="1" x14ac:dyDescent="0.3"/>
    <row r="55" spans="2:11" ht="19.5" thickBot="1" x14ac:dyDescent="0.35">
      <c r="B55" s="41" t="s">
        <v>75</v>
      </c>
      <c r="C55" s="42"/>
      <c r="D55" s="42"/>
      <c r="E55" s="42"/>
      <c r="F55" s="42"/>
      <c r="G55" s="42"/>
      <c r="H55" s="43">
        <f>H4+H13+H17+H28+H32+H36+H43+H49+H53</f>
        <v>41872.562577963079</v>
      </c>
      <c r="I55" s="43">
        <f>I4+I13+I17+I28+I32+I36+I43+I49+I53</f>
        <v>250827.59552781592</v>
      </c>
      <c r="J55" s="83"/>
    </row>
    <row r="58" spans="2:11" ht="19.5" thickBot="1" x14ac:dyDescent="0.35">
      <c r="B58" s="16" t="s">
        <v>54</v>
      </c>
      <c r="C58" s="9"/>
      <c r="D58" s="9"/>
      <c r="E58" s="9"/>
      <c r="F58" s="9"/>
    </row>
    <row r="59" spans="2:11" ht="15.75" thickBot="1" x14ac:dyDescent="0.3">
      <c r="B59" s="27" t="s">
        <v>5</v>
      </c>
      <c r="C59" s="27" t="s">
        <v>10</v>
      </c>
      <c r="D59" s="27" t="s">
        <v>45</v>
      </c>
      <c r="E59" s="27" t="s">
        <v>77</v>
      </c>
      <c r="F59" s="27" t="s">
        <v>77</v>
      </c>
      <c r="G59" s="27" t="s">
        <v>77</v>
      </c>
      <c r="H59" s="52" t="s">
        <v>28</v>
      </c>
      <c r="I59" s="52" t="s">
        <v>30</v>
      </c>
    </row>
    <row r="60" spans="2:11" x14ac:dyDescent="0.25">
      <c r="B60" s="69" t="s">
        <v>55</v>
      </c>
      <c r="C60" s="69" t="s">
        <v>56</v>
      </c>
      <c r="D60" s="70">
        <f>AVERAGE(D61:D64)</f>
        <v>0.12126688144584083</v>
      </c>
      <c r="E60" s="70"/>
      <c r="F60" s="70"/>
      <c r="G60" s="70"/>
      <c r="H60" s="71">
        <f>D60*H55</f>
        <v>5077.7550819753997</v>
      </c>
      <c r="I60" s="71">
        <f>D60*I55</f>
        <v>30417.080290216971</v>
      </c>
      <c r="J60" s="83"/>
    </row>
    <row r="61" spans="2:11" x14ac:dyDescent="0.25">
      <c r="B61" s="51"/>
      <c r="C61" s="4" t="s">
        <v>63</v>
      </c>
      <c r="D61" s="20">
        <f>12.98/158.57</f>
        <v>8.1856593302642375E-2</v>
      </c>
      <c r="E61" s="51"/>
      <c r="F61" s="51"/>
      <c r="G61" s="4"/>
      <c r="H61" s="4"/>
      <c r="I61" s="4"/>
    </row>
    <row r="62" spans="2:11" x14ac:dyDescent="0.25">
      <c r="B62" s="9"/>
      <c r="C62" s="5" t="s">
        <v>58</v>
      </c>
      <c r="D62" s="22">
        <f>10/42</f>
        <v>0.23809523809523808</v>
      </c>
      <c r="E62" s="9"/>
      <c r="F62" s="9"/>
      <c r="G62" s="5"/>
      <c r="H62" s="5"/>
      <c r="I62" s="5"/>
    </row>
    <row r="63" spans="2:11" x14ac:dyDescent="0.25">
      <c r="B63" s="51"/>
      <c r="C63" s="4" t="s">
        <v>59</v>
      </c>
      <c r="D63" s="20">
        <f>59.1/506.934</f>
        <v>0.11658322385162566</v>
      </c>
      <c r="E63" s="51"/>
      <c r="F63" s="51"/>
      <c r="G63" s="4"/>
      <c r="H63" s="4"/>
      <c r="I63" s="4"/>
    </row>
    <row r="64" spans="2:11" ht="15.75" thickBot="1" x14ac:dyDescent="0.3">
      <c r="B64" s="14"/>
      <c r="C64" s="12" t="s">
        <v>60</v>
      </c>
      <c r="D64" s="21">
        <f>21/432.7</f>
        <v>4.8532470533857175E-2</v>
      </c>
      <c r="E64" s="14"/>
      <c r="F64" s="14"/>
      <c r="G64" s="12"/>
      <c r="H64" s="12"/>
      <c r="I64" s="12"/>
    </row>
    <row r="65" spans="2:10" x14ac:dyDescent="0.25">
      <c r="B65" s="9"/>
      <c r="C65" s="5"/>
      <c r="D65" s="22"/>
      <c r="E65" s="9"/>
      <c r="F65" s="9"/>
    </row>
    <row r="66" spans="2:10" ht="19.5" thickBot="1" x14ac:dyDescent="0.35">
      <c r="B66" s="16" t="s">
        <v>42</v>
      </c>
    </row>
    <row r="67" spans="2:10" ht="15.75" thickBot="1" x14ac:dyDescent="0.3">
      <c r="B67" s="27" t="s">
        <v>5</v>
      </c>
      <c r="C67" s="27" t="s">
        <v>10</v>
      </c>
      <c r="D67" s="27" t="s">
        <v>45</v>
      </c>
      <c r="E67" s="27" t="s">
        <v>77</v>
      </c>
      <c r="F67" s="27" t="s">
        <v>77</v>
      </c>
      <c r="G67" s="27" t="s">
        <v>77</v>
      </c>
      <c r="H67" s="52" t="s">
        <v>28</v>
      </c>
      <c r="I67" s="52" t="s">
        <v>30</v>
      </c>
    </row>
    <row r="68" spans="2:10" x14ac:dyDescent="0.25">
      <c r="B68" s="72" t="s">
        <v>12</v>
      </c>
      <c r="C68" s="72" t="s">
        <v>47</v>
      </c>
      <c r="D68" s="73">
        <f>AVERAGE(D69:D71)</f>
        <v>0.111725133648212</v>
      </c>
      <c r="E68" s="70"/>
      <c r="F68" s="70"/>
      <c r="G68" s="70"/>
      <c r="H68" s="71">
        <f>D68*H55</f>
        <v>4678.2176502160455</v>
      </c>
      <c r="I68" s="71">
        <f>D68*I55</f>
        <v>28023.746633004896</v>
      </c>
      <c r="J68" s="83"/>
    </row>
    <row r="69" spans="2:10" x14ac:dyDescent="0.25">
      <c r="B69" s="4"/>
      <c r="C69" s="4" t="s">
        <v>64</v>
      </c>
      <c r="D69" s="20">
        <f>15.927/158.67</f>
        <v>0.10037814331631689</v>
      </c>
      <c r="E69" s="4"/>
      <c r="F69" s="4"/>
      <c r="G69" s="4"/>
      <c r="H69" s="7"/>
      <c r="I69" s="7"/>
    </row>
    <row r="70" spans="2:10" x14ac:dyDescent="0.25">
      <c r="B70" s="61"/>
      <c r="C70" s="62" t="s">
        <v>61</v>
      </c>
      <c r="D70" s="60">
        <f>31.52/506.93</f>
        <v>6.2178210009271498E-2</v>
      </c>
      <c r="E70" s="5"/>
      <c r="F70" s="5"/>
      <c r="G70" s="5"/>
      <c r="H70" s="6"/>
      <c r="I70" s="6"/>
    </row>
    <row r="71" spans="2:10" ht="15.75" thickBot="1" x14ac:dyDescent="0.3">
      <c r="B71" s="63"/>
      <c r="C71" s="63" t="s">
        <v>62</v>
      </c>
      <c r="D71" s="64">
        <f>29/168</f>
        <v>0.17261904761904762</v>
      </c>
      <c r="E71" s="8"/>
      <c r="F71" s="8"/>
      <c r="G71" s="8"/>
      <c r="H71" s="53"/>
      <c r="I71" s="53"/>
    </row>
    <row r="72" spans="2:10" x14ac:dyDescent="0.25">
      <c r="B72" s="44"/>
      <c r="C72" s="44"/>
      <c r="D72" s="45"/>
      <c r="H72" s="1"/>
      <c r="I72" s="1"/>
    </row>
    <row r="73" spans="2:10" ht="19.5" thickBot="1" x14ac:dyDescent="0.35">
      <c r="B73" s="16" t="s">
        <v>46</v>
      </c>
      <c r="H73" s="1"/>
      <c r="I73" s="1"/>
    </row>
    <row r="74" spans="2:10" s="47" customFormat="1" ht="24" thickBot="1" x14ac:dyDescent="0.4">
      <c r="B74" s="27" t="s">
        <v>5</v>
      </c>
      <c r="C74" s="27" t="s">
        <v>10</v>
      </c>
      <c r="D74" s="27" t="s">
        <v>45</v>
      </c>
      <c r="E74" s="27" t="s">
        <v>77</v>
      </c>
      <c r="F74" s="27" t="s">
        <v>77</v>
      </c>
      <c r="G74" s="27" t="s">
        <v>77</v>
      </c>
      <c r="H74" s="52" t="s">
        <v>28</v>
      </c>
      <c r="I74" s="52" t="s">
        <v>30</v>
      </c>
    </row>
    <row r="75" spans="2:10" x14ac:dyDescent="0.25">
      <c r="B75" s="74" t="s">
        <v>12</v>
      </c>
      <c r="C75" s="74" t="s">
        <v>57</v>
      </c>
      <c r="D75" s="75">
        <f>AVERAGE(D76:D79)</f>
        <v>8.1578887953250842E-2</v>
      </c>
      <c r="E75" s="70"/>
      <c r="F75" s="70"/>
      <c r="G75" s="70"/>
      <c r="H75" s="71">
        <f>D75*H55</f>
        <v>3415.917090863134</v>
      </c>
      <c r="I75" s="71">
        <f>D75*I55</f>
        <v>20462.236311147019</v>
      </c>
      <c r="J75" s="83"/>
    </row>
    <row r="76" spans="2:10" x14ac:dyDescent="0.25">
      <c r="B76" s="4"/>
      <c r="C76" s="4" t="s">
        <v>65</v>
      </c>
      <c r="D76" s="20">
        <f t="shared" ref="D76" si="5">23.704/158.571</f>
        <v>0.14948508869843793</v>
      </c>
      <c r="E76" s="4"/>
      <c r="F76" s="4"/>
      <c r="G76" s="4"/>
      <c r="H76" s="7"/>
      <c r="I76" s="7"/>
    </row>
    <row r="77" spans="2:10" x14ac:dyDescent="0.25">
      <c r="B77" s="65"/>
      <c r="C77" s="65" t="s">
        <v>66</v>
      </c>
      <c r="D77" s="66">
        <f>22.05/506.93</f>
        <v>4.3497129781232123E-2</v>
      </c>
      <c r="E77" s="5"/>
      <c r="F77" s="5"/>
      <c r="G77" s="5"/>
      <c r="H77" s="6"/>
      <c r="I77" s="6"/>
    </row>
    <row r="78" spans="2:10" x14ac:dyDescent="0.25">
      <c r="B78" s="4"/>
      <c r="C78" s="4" t="s">
        <v>67</v>
      </c>
      <c r="D78" s="20">
        <f>1.1/42</f>
        <v>2.6190476190476191E-2</v>
      </c>
      <c r="E78" s="4"/>
      <c r="F78" s="4"/>
      <c r="G78" s="4"/>
      <c r="H78" s="7"/>
      <c r="I78" s="7"/>
    </row>
    <row r="79" spans="2:10" ht="15.75" thickBot="1" x14ac:dyDescent="0.3">
      <c r="B79" s="67"/>
      <c r="C79" s="67" t="s">
        <v>68</v>
      </c>
      <c r="D79" s="68">
        <f>18/168</f>
        <v>0.10714285714285714</v>
      </c>
      <c r="E79" s="12"/>
      <c r="F79" s="12"/>
      <c r="G79" s="12"/>
      <c r="H79" s="13"/>
      <c r="I79" s="13"/>
    </row>
    <row r="80" spans="2:10" ht="15.75" thickBot="1" x14ac:dyDescent="0.3">
      <c r="H80" s="1"/>
      <c r="I80" s="1"/>
    </row>
    <row r="81" spans="2:10" ht="24" thickBot="1" x14ac:dyDescent="0.4">
      <c r="B81" s="46" t="s">
        <v>74</v>
      </c>
      <c r="C81" s="48"/>
      <c r="D81" s="48"/>
      <c r="E81" s="48"/>
      <c r="F81" s="48"/>
      <c r="G81" s="48"/>
      <c r="H81" s="49">
        <f>H55+H60+H68+H75</f>
        <v>55044.452401017654</v>
      </c>
      <c r="I81" s="50">
        <f>I55+I60+I68+I75</f>
        <v>329730.65876218479</v>
      </c>
      <c r="J81" s="83"/>
    </row>
  </sheetData>
  <pageMargins left="0.7" right="0.7" top="0.75" bottom="0.75" header="0.3" footer="0.3"/>
  <pageSetup scale="48" orientation="portrait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Construction_Breakdown</vt:lpstr>
      <vt:lpstr>Construction_Breakdown!Print_Area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O'Connor, Paul</dc:creator>
  <cp:lastModifiedBy>paul o'connor</cp:lastModifiedBy>
  <cp:lastPrinted>2019-06-24T22:11:14Z</cp:lastPrinted>
  <dcterms:created xsi:type="dcterms:W3CDTF">2019-05-12T22:08:17Z</dcterms:created>
  <dcterms:modified xsi:type="dcterms:W3CDTF">2019-07-11T13:56:58Z</dcterms:modified>
</cp:coreProperties>
</file>